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3.xml"/>
  <Override ContentType="application/vnd.openxmlformats-officedocument.spreadsheetml.worksheet+xml" PartName="/xl/worksheets/sheet15.xml"/>
  <Override ContentType="application/vnd.openxmlformats-officedocument.spreadsheetml.worksheet+xml" PartName="/xl/worksheets/sheet40.xml"/>
  <Override ContentType="application/vnd.openxmlformats-officedocument.spreadsheetml.worksheet+xml" PartName="/xl/worksheets/sheet32.xml"/>
  <Override ContentType="application/vnd.openxmlformats-officedocument.spreadsheetml.worksheet+xml" PartName="/xl/worksheets/sheet6.xml"/>
  <Override ContentType="application/vnd.openxmlformats-officedocument.spreadsheetml.worksheet+xml" PartName="/xl/worksheets/sheet49.xml"/>
  <Override ContentType="application/vnd.openxmlformats-officedocument.spreadsheetml.worksheet+xml" PartName="/xl/worksheets/sheet16.xml"/>
  <Override ContentType="application/vnd.openxmlformats-officedocument.spreadsheetml.worksheet+xml" PartName="/xl/worksheets/sheet41.xml"/>
  <Override ContentType="application/vnd.openxmlformats-officedocument.spreadsheetml.worksheet+xml" PartName="/xl/worksheets/sheet5.xml"/>
  <Override ContentType="application/vnd.openxmlformats-officedocument.spreadsheetml.worksheet+xml" PartName="/xl/worksheets/sheet50.xml"/>
  <Override ContentType="application/vnd.openxmlformats-officedocument.spreadsheetml.worksheet+xml" PartName="/xl/worksheets/sheet24.xml"/>
  <Override ContentType="application/vnd.openxmlformats-officedocument.spreadsheetml.worksheet+xml" PartName="/xl/worksheets/sheet33.xml"/>
  <Override ContentType="application/vnd.openxmlformats-officedocument.spreadsheetml.worksheet+xml" PartName="/xl/worksheets/sheet39.xml"/>
  <Override ContentType="application/vnd.openxmlformats-officedocument.spreadsheetml.worksheet+xml" PartName="/xl/worksheets/sheet12.xml"/>
  <Override ContentType="application/vnd.openxmlformats-officedocument.spreadsheetml.worksheet+xml" PartName="/xl/worksheets/sheet42.xml"/>
  <Override ContentType="application/vnd.openxmlformats-officedocument.spreadsheetml.worksheet+xml" PartName="/xl/worksheets/sheet38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43.xml"/>
  <Override ContentType="application/vnd.openxmlformats-officedocument.spreadsheetml.worksheet+xml" PartName="/xl/worksheets/sheet14.xml"/>
  <Override ContentType="application/vnd.openxmlformats-officedocument.spreadsheetml.worksheet+xml" PartName="/xl/worksheets/sheet44.xml"/>
  <Override ContentType="application/vnd.openxmlformats-officedocument.spreadsheetml.worksheet+xml" PartName="/xl/worksheets/sheet13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7.xml"/>
  <Override ContentType="application/vnd.openxmlformats-officedocument.spreadsheetml.worksheet+xml" PartName="/xl/worksheets/sheet28.xml"/>
  <Override ContentType="application/vnd.openxmlformats-officedocument.spreadsheetml.worksheet+xml" PartName="/xl/worksheets/sheet5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45.xml"/>
  <Override ContentType="application/vnd.openxmlformats-officedocument.spreadsheetml.worksheet+xml" PartName="/xl/worksheets/sheet36.xml"/>
  <Override ContentType="application/vnd.openxmlformats-officedocument.spreadsheetml.worksheet+xml" PartName="/xl/worksheets/sheet46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37.xml"/>
  <Override ContentType="application/vnd.openxmlformats-officedocument.spreadsheetml.worksheet+xml" PartName="/xl/worksheets/sheet1.xml"/>
  <Override ContentType="application/vnd.openxmlformats-officedocument.spreadsheetml.worksheet+xml" PartName="/xl/worksheets/sheet9.xml"/>
  <Override ContentType="application/vnd.openxmlformats-officedocument.spreadsheetml.worksheet+xml" PartName="/xl/worksheets/sheet47.xml"/>
  <Override ContentType="application/vnd.openxmlformats-officedocument.spreadsheetml.worksheet+xml" PartName="/xl/worksheets/sheet4.xml"/>
  <Override ContentType="application/vnd.openxmlformats-officedocument.spreadsheetml.worksheet+xml" PartName="/xl/worksheets/sheet17.xml"/>
  <Override ContentType="application/vnd.openxmlformats-officedocument.spreadsheetml.worksheet+xml" PartName="/xl/worksheets/sheet51.xml"/>
  <Override ContentType="application/vnd.openxmlformats-officedocument.spreadsheetml.worksheet+xml" PartName="/xl/worksheets/sheet34.xml"/>
  <Override ContentType="application/vnd.openxmlformats-officedocument.spreadsheetml.worksheet+xml" PartName="/xl/worksheets/sheet21.xml"/>
  <Override ContentType="application/vnd.openxmlformats-officedocument.spreadsheetml.worksheet+xml" PartName="/xl/worksheets/sheet52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48.xml"/>
  <Override ContentType="application/vnd.openxmlformats-officedocument.spreadsheetml.worksheet+xml" PartName="/xl/worksheets/sheet22.xml"/>
  <Override ContentType="application/vnd.openxmlformats-officedocument.spreadsheetml.worksheet+xml" PartName="/xl/worksheets/sheet35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30.xml"/>
  <Override ContentType="application/vnd.openxmlformats-officedocument.drawing+xml" PartName="/xl/drawings/drawing47.xml"/>
  <Override ContentType="application/vnd.openxmlformats-officedocument.drawing+xml" PartName="/xl/drawings/drawing21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48.xml"/>
  <Override ContentType="application/vnd.openxmlformats-officedocument.drawing+xml" PartName="/xl/drawings/drawing2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53.xml"/>
  <Override ContentType="application/vnd.openxmlformats-officedocument.drawing+xml" PartName="/xl/drawings/drawing6.xml"/>
  <Override ContentType="application/vnd.openxmlformats-officedocument.drawing+xml" PartName="/xl/drawings/drawing40.xml"/>
  <Override ContentType="application/vnd.openxmlformats-officedocument.drawing+xml" PartName="/xl/drawings/drawing36.xml"/>
  <Override ContentType="application/vnd.openxmlformats-officedocument.drawing+xml" PartName="/xl/drawings/drawing23.xml"/>
  <Override ContentType="application/vnd.openxmlformats-officedocument.drawing+xml" PartName="/xl/drawings/drawing49.xml"/>
  <Override ContentType="application/vnd.openxmlformats-officedocument.drawing+xml" PartName="/xl/drawings/drawing38.xml"/>
  <Override ContentType="application/vnd.openxmlformats-officedocument.drawing+xml" PartName="/xl/drawings/drawing19.xml"/>
  <Override ContentType="application/vnd.openxmlformats-officedocument.drawing+xml" PartName="/xl/drawings/drawing41.xml"/>
  <Override ContentType="application/vnd.openxmlformats-officedocument.drawing+xml" PartName="/xl/drawings/drawing5.xml"/>
  <Override ContentType="application/vnd.openxmlformats-officedocument.drawing+xml" PartName="/xl/drawings/drawing24.xml"/>
  <Override ContentType="application/vnd.openxmlformats-officedocument.drawing+xml" PartName="/xl/drawings/drawing42.xml"/>
  <Override ContentType="application/vnd.openxmlformats-officedocument.drawing+xml" PartName="/xl/drawings/drawing11.xml"/>
  <Override ContentType="application/vnd.openxmlformats-officedocument.drawing+xml" PartName="/xl/drawings/drawing37.xml"/>
  <Override ContentType="application/vnd.openxmlformats-officedocument.drawing+xml" PartName="/xl/drawings/drawing26.xml"/>
  <Override ContentType="application/vnd.openxmlformats-officedocument.drawing+xml" PartName="/xl/drawings/drawing51.xml"/>
  <Override ContentType="application/vnd.openxmlformats-officedocument.drawing+xml" PartName="/xl/drawings/drawing9.xml"/>
  <Override ContentType="application/vnd.openxmlformats-officedocument.drawing+xml" PartName="/xl/drawings/drawing17.xml"/>
  <Override ContentType="application/vnd.openxmlformats-officedocument.drawing+xml" PartName="/xl/drawings/drawing43.xml"/>
  <Override ContentType="application/vnd.openxmlformats-officedocument.drawing+xml" PartName="/xl/drawings/drawing25.xml"/>
  <Override ContentType="application/vnd.openxmlformats-officedocument.drawing+xml" PartName="/xl/drawings/drawing34.xml"/>
  <Override ContentType="application/vnd.openxmlformats-officedocument.drawing+xml" PartName="/xl/drawings/drawing27.xml"/>
  <Override ContentType="application/vnd.openxmlformats-officedocument.drawing+xml" PartName="/xl/drawings/drawing52.xml"/>
  <Override ContentType="application/vnd.openxmlformats-officedocument.drawing+xml" PartName="/xl/drawings/drawing44.xml"/>
  <Override ContentType="application/vnd.openxmlformats-officedocument.drawing+xml" PartName="/xl/drawings/drawing7.xml"/>
  <Override ContentType="application/vnd.openxmlformats-officedocument.drawing+xml" PartName="/xl/drawings/drawing18.xml"/>
  <Override ContentType="application/vnd.openxmlformats-officedocument.drawing+xml" PartName="/xl/drawings/drawing35.xml"/>
  <Override ContentType="application/vnd.openxmlformats-officedocument.drawing+xml" PartName="/xl/drawings/drawing45.xml"/>
  <Override ContentType="application/vnd.openxmlformats-officedocument.drawing+xml" PartName="/xl/drawings/drawing28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32.xml"/>
  <Override ContentType="application/vnd.openxmlformats-officedocument.drawing+xml" PartName="/xl/drawings/drawing33.xml"/>
  <Override ContentType="application/vnd.openxmlformats-officedocument.drawing+xml" PartName="/xl/drawings/drawing46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29.xml"/>
  <Override ContentType="application/vnd.openxmlformats-officedocument.drawing+xml" PartName="/xl/drawings/drawing50.xml"/>
  <Override ContentType="application/vnd.openxmlformats-officedocument.drawing+xml" PartName="/xl/drawings/drawing20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岩手大学" sheetId="1" r:id="rId4"/>
    <sheet state="hidden" name="個人別エントリー" sheetId="2" r:id="rId5"/>
    <sheet state="hidden" name="リレー内容" sheetId="3" r:id="rId6"/>
    <sheet state="hidden" name="オフィシャル" sheetId="4" r:id="rId7"/>
    <sheet state="visible" name="東北大学" sheetId="5" r:id="rId8"/>
    <sheet state="visible" name="北海道大学" sheetId="6" r:id="rId9"/>
    <sheet state="visible" name="宮城学院女子大学" sheetId="7" r:id="rId10"/>
    <sheet state="visible" name="岩手県立大学" sheetId="8" r:id="rId11"/>
    <sheet state="visible" name="東京農業大学（オホーツク）" sheetId="9" r:id="rId12"/>
    <sheet state="visible" name="中村記念病院附属看護学校" sheetId="10" r:id="rId13"/>
    <sheet state="visible" name="金沢大学" sheetId="11" r:id="rId14"/>
    <sheet state="visible" name="新潟大学" sheetId="12" r:id="rId15"/>
    <sheet state="visible" name="お茶の水女子大学" sheetId="13" r:id="rId16"/>
    <sheet state="visible" name="慶應義塾大学" sheetId="14" r:id="rId17"/>
    <sheet state="visible" name="千葉大学" sheetId="15" r:id="rId18"/>
    <sheet state="visible" name="筑波大学" sheetId="16" r:id="rId19"/>
    <sheet state="visible" name="東京大学" sheetId="17" r:id="rId20"/>
    <sheet state="visible" name="東京農工大学" sheetId="18" r:id="rId21"/>
    <sheet state="visible" name="東京理科大学" sheetId="19" r:id="rId22"/>
    <sheet state="visible" name="法政大学" sheetId="20" r:id="rId23"/>
    <sheet state="visible" name="横浜国立大学" sheetId="21" r:id="rId24"/>
    <sheet state="visible" name="立教大学" sheetId="22" r:id="rId25"/>
    <sheet state="visible" name="早稲田大学" sheetId="23" r:id="rId26"/>
    <sheet state="visible" name="実践女子大学" sheetId="24" r:id="rId27"/>
    <sheet state="visible" name="一橋大学" sheetId="25" r:id="rId28"/>
    <sheet state="visible" name="相模女子大学" sheetId="26" r:id="rId29"/>
    <sheet state="visible" name="東京工業大学" sheetId="27" r:id="rId30"/>
    <sheet state="visible" name="日本女子大学" sheetId="28" r:id="rId31"/>
    <sheet state="visible" name="日本大学" sheetId="29" r:id="rId32"/>
    <sheet state="visible" name="津田塾大学" sheetId="30" r:id="rId33"/>
    <sheet state="visible" name="茨城大学" sheetId="31" r:id="rId34"/>
    <sheet state="visible" name="筑波大学大学院" sheetId="32" r:id="rId35"/>
    <sheet state="visible" name="横浜市立大学" sheetId="33" r:id="rId36"/>
    <sheet state="visible" name="東京工科大学" sheetId="34" r:id="rId37"/>
    <sheet state="visible" name="国際基督教大学" sheetId="35" r:id="rId38"/>
    <sheet state="visible" name="十文字女子大学" sheetId="36" r:id="rId39"/>
    <sheet state="visible" name="明治大学" sheetId="37" r:id="rId40"/>
    <sheet state="visible" name="静岡大学" sheetId="38" r:id="rId41"/>
    <sheet state="visible" name="名古屋大学" sheetId="39" r:id="rId42"/>
    <sheet state="visible" name="愛知県立大学" sheetId="40" r:id="rId43"/>
    <sheet state="visible" name="椙山女学園大学" sheetId="41" r:id="rId44"/>
    <sheet state="visible" name="大阪大学" sheetId="42" r:id="rId45"/>
    <sheet state="visible" name="京都大学" sheetId="43" r:id="rId46"/>
    <sheet state="visible" name="神戸大学" sheetId="44" r:id="rId47"/>
    <sheet state="visible" name="立命館大学" sheetId="45" r:id="rId48"/>
    <sheet state="visible" name="京都女子大学" sheetId="46" r:id="rId49"/>
    <sheet state="visible" name="神戸市立工業高等専門学校" sheetId="47" r:id="rId50"/>
    <sheet state="visible" name="奈良女子大学" sheetId="48" r:id="rId51"/>
    <sheet state="visible" name="同志社大学" sheetId="49" r:id="rId52"/>
    <sheet state="visible" name="京都工芸繊維大学" sheetId="50" r:id="rId53"/>
    <sheet state="visible" name="龍谷大学" sheetId="51" r:id="rId54"/>
    <sheet state="visible" name="広島大学" sheetId="52" r:id="rId55"/>
    <sheet state="visible" name="徳島大学" sheetId="53" r:id="rId56"/>
  </sheets>
  <definedNames/>
  <calcPr/>
  <extLst>
    <ext uri="GoogleSheetsCustomDataVersion2">
      <go:sheetsCustomData xmlns:go="http://customooxmlschemas.google.com/" r:id="rId57" roundtripDataChecksum="/PYodMLCYxQX/ndEYJkUgitBmXILMQximVGnNCt3lUM="/>
    </ext>
  </extLst>
</workbook>
</file>

<file path=xl/sharedStrings.xml><?xml version="1.0" encoding="utf-8"?>
<sst xmlns="http://schemas.openxmlformats.org/spreadsheetml/2006/main" count="10431" uniqueCount="2338">
  <si>
    <t>岩手大学</t>
  </si>
  <si>
    <t>参加費合計額</t>
  </si>
  <si>
    <t>項目</t>
  </si>
  <si>
    <t>単価</t>
  </si>
  <si>
    <t>個数</t>
  </si>
  <si>
    <t>合計</t>
  </si>
  <si>
    <t>基本参加費</t>
  </si>
  <si>
    <t>選手</t>
  </si>
  <si>
    <t>チームオフィシャル</t>
  </si>
  <si>
    <t>宿泊費・輸送費</t>
  </si>
  <si>
    <t>リレー競技「選手権の部」登録費</t>
  </si>
  <si>
    <t>Eカードレンタル</t>
  </si>
  <si>
    <t>個人別エントリー情報</t>
  </si>
  <si>
    <t>＊計算用</t>
  </si>
  <si>
    <t>リレーエントリー情報</t>
  </si>
  <si>
    <t>登録番号</t>
  </si>
  <si>
    <t>氏名</t>
  </si>
  <si>
    <t>ふりがな</t>
  </si>
  <si>
    <t>登録年数</t>
  </si>
  <si>
    <t>性別</t>
  </si>
  <si>
    <t>ミドル</t>
  </si>
  <si>
    <t>リレー</t>
  </si>
  <si>
    <t>マイe-card</t>
  </si>
  <si>
    <t>モデルイベント</t>
  </si>
  <si>
    <t>不泊日</t>
  </si>
  <si>
    <t>MER</t>
  </si>
  <si>
    <t>WER</t>
  </si>
  <si>
    <t>MAR</t>
  </si>
  <si>
    <t>WAR</t>
  </si>
  <si>
    <t>XAR</t>
  </si>
  <si>
    <t>MAS</t>
  </si>
  <si>
    <t>WAS</t>
  </si>
  <si>
    <t>BR</t>
  </si>
  <si>
    <t>BS</t>
  </si>
  <si>
    <t>混成チーム</t>
  </si>
  <si>
    <t>クラス</t>
  </si>
  <si>
    <t>代表校</t>
  </si>
  <si>
    <t>内訳</t>
  </si>
  <si>
    <t>オフィシャル情報</t>
  </si>
  <si>
    <t>高橋　友徳</t>
  </si>
  <si>
    <t>たかはし　とものり</t>
  </si>
  <si>
    <t>男</t>
  </si>
  <si>
    <t>菊池　美結</t>
  </si>
  <si>
    <t>きくち　みゆ</t>
  </si>
  <si>
    <t>女</t>
  </si>
  <si>
    <t>学校コード</t>
  </si>
  <si>
    <t>学校名</t>
  </si>
  <si>
    <t>モデルイベント参加の有無</t>
  </si>
  <si>
    <t>不泊申請済み</t>
  </si>
  <si>
    <t>不泊申請を出す</t>
  </si>
  <si>
    <t>嶋津光祐</t>
  </si>
  <si>
    <t>しまつこうすけ</t>
  </si>
  <si>
    <t>MUF</t>
  </si>
  <si>
    <t>○出場</t>
  </si>
  <si>
    <t>○参加する</t>
  </si>
  <si>
    <t>小河慧樹</t>
  </si>
  <si>
    <t>おがわさとき</t>
  </si>
  <si>
    <t>×欠場</t>
  </si>
  <si>
    <t>×参加しない</t>
  </si>
  <si>
    <t>安藤葵</t>
  </si>
  <si>
    <t>あんどうあおい</t>
  </si>
  <si>
    <t>WUF</t>
  </si>
  <si>
    <t>喜屋武南海</t>
  </si>
  <si>
    <t>きゃんみなみ</t>
  </si>
  <si>
    <t>清水豪希</t>
  </si>
  <si>
    <t>しみずごうき</t>
  </si>
  <si>
    <t>多田春菜</t>
  </si>
  <si>
    <t>ただはるな</t>
  </si>
  <si>
    <t>山崎僚太</t>
  </si>
  <si>
    <t>やまざきりょうた</t>
  </si>
  <si>
    <t>石田岳人</t>
  </si>
  <si>
    <t>いしだがくと</t>
  </si>
  <si>
    <t>大久保壮琉</t>
  </si>
  <si>
    <t>おおくぼたける</t>
  </si>
  <si>
    <t>相良泰斗</t>
  </si>
  <si>
    <t>さがらたいと</t>
  </si>
  <si>
    <t>山家楓</t>
  </si>
  <si>
    <t>やまがかえで</t>
  </si>
  <si>
    <t>畠山慶士</t>
  </si>
  <si>
    <t>はたけやまけいと</t>
  </si>
  <si>
    <t>村上陽大</t>
  </si>
  <si>
    <t>むらかみ　ひなた</t>
  </si>
  <si>
    <t>横山宗史</t>
  </si>
  <si>
    <t>よこやま　そうし</t>
  </si>
  <si>
    <t>近藤未悠</t>
  </si>
  <si>
    <t>こんどう　みゆう</t>
  </si>
  <si>
    <t>佐々木志温</t>
  </si>
  <si>
    <t>ささき　しおん</t>
  </si>
  <si>
    <t>下館拓人</t>
  </si>
  <si>
    <t>しもだて　たくと</t>
  </si>
  <si>
    <t>橋場陸人</t>
  </si>
  <si>
    <t>はしば　りくと</t>
  </si>
  <si>
    <t>吹上雄琉</t>
  </si>
  <si>
    <t>ふきあげ　たける</t>
  </si>
  <si>
    <t>福原悠</t>
  </si>
  <si>
    <t>ふくはら　ゆう</t>
  </si>
  <si>
    <t>細川本気</t>
  </si>
  <si>
    <t>ほそかわ　もとき</t>
  </si>
  <si>
    <t>筒井咲月</t>
  </si>
  <si>
    <t>つついさつき</t>
  </si>
  <si>
    <t>上屋敷蒼太</t>
  </si>
  <si>
    <t>かみやしきそうた</t>
  </si>
  <si>
    <t>前田柊</t>
  </si>
  <si>
    <t>まえたしゅう</t>
  </si>
  <si>
    <t>小池紗羅</t>
  </si>
  <si>
    <t>こいけさら</t>
  </si>
  <si>
    <t>林田夏波</t>
  </si>
  <si>
    <t>はやしだななみ</t>
  </si>
  <si>
    <t>土田菜央</t>
  </si>
  <si>
    <t>つちだなお</t>
  </si>
  <si>
    <t>飯塚楓野</t>
  </si>
  <si>
    <t>いいづかふうの</t>
  </si>
  <si>
    <t>山下和歌子</t>
  </si>
  <si>
    <t>やましたわかこ</t>
  </si>
  <si>
    <t>WUB</t>
  </si>
  <si>
    <t>山口瑠奈</t>
  </si>
  <si>
    <t>やまぐちるな</t>
  </si>
  <si>
    <t>白戸柚名</t>
  </si>
  <si>
    <t>しらとゆうな</t>
  </si>
  <si>
    <t>WUA</t>
  </si>
  <si>
    <t>今晴香</t>
  </si>
  <si>
    <t>こんはるか</t>
  </si>
  <si>
    <t>笹村和加</t>
  </si>
  <si>
    <t>ささむらのどか</t>
  </si>
  <si>
    <t>高橋光</t>
  </si>
  <si>
    <t>たかはしひかる</t>
  </si>
  <si>
    <t>佐々木晴菜</t>
  </si>
  <si>
    <t>ささきはるな</t>
  </si>
  <si>
    <t>山田一聡</t>
  </si>
  <si>
    <t>やまだいっそう</t>
  </si>
  <si>
    <t>MUA</t>
  </si>
  <si>
    <t>松木大知</t>
  </si>
  <si>
    <t>まつきだいち</t>
  </si>
  <si>
    <t>山田 凌平</t>
  </si>
  <si>
    <t>やまだ りょうへい</t>
  </si>
  <si>
    <t>村山 蒼悟</t>
  </si>
  <si>
    <t>むらやま そうご</t>
  </si>
  <si>
    <t>木谷 信之祐</t>
  </si>
  <si>
    <t>きや しんのすけ</t>
  </si>
  <si>
    <t>東北大学</t>
  </si>
  <si>
    <t>石井雅人</t>
  </si>
  <si>
    <t>いしいまさと</t>
  </si>
  <si>
    <t>石槫朱莉</t>
  </si>
  <si>
    <t>いしぐれあかり</t>
  </si>
  <si>
    <t>板橋昌樹</t>
  </si>
  <si>
    <t>いたばしまさき</t>
  </si>
  <si>
    <t>梅村紗矢</t>
  </si>
  <si>
    <t>うめむらさや</t>
  </si>
  <si>
    <t>大谷亮</t>
  </si>
  <si>
    <t>おおたにりょう</t>
  </si>
  <si>
    <t>小川功祐</t>
  </si>
  <si>
    <t>オガワコウスケ</t>
  </si>
  <si>
    <t>蟹江孝太</t>
  </si>
  <si>
    <t>かにえこうた</t>
  </si>
  <si>
    <t>加納　歩輝</t>
  </si>
  <si>
    <t>かのう　あゆき</t>
  </si>
  <si>
    <t>小林建</t>
  </si>
  <si>
    <t>こばやしたてき</t>
  </si>
  <si>
    <t>古美門正太郎</t>
  </si>
  <si>
    <t>こみかどしょうたろう</t>
  </si>
  <si>
    <t>齋藤洋紀</t>
  </si>
  <si>
    <t>さいとうひろき</t>
  </si>
  <si>
    <t>佐久間輝斗</t>
  </si>
  <si>
    <t>さくまきらと</t>
  </si>
  <si>
    <t>佐々木隆乃介</t>
  </si>
  <si>
    <t>ササキリュウノスケ</t>
  </si>
  <si>
    <t>柴山青空</t>
  </si>
  <si>
    <t>しばやまそら</t>
  </si>
  <si>
    <t>渋谷崇路</t>
  </si>
  <si>
    <t>しぶやたかみち</t>
  </si>
  <si>
    <t>鈴木悠斗</t>
  </si>
  <si>
    <t>すずきゆうと</t>
  </si>
  <si>
    <t>竹田　昂樹</t>
  </si>
  <si>
    <t>たけだ　こうき</t>
  </si>
  <si>
    <t>丹波侑来</t>
  </si>
  <si>
    <t>たんばゆく</t>
  </si>
  <si>
    <t>塚村悠希</t>
  </si>
  <si>
    <t>つかむらゆうき</t>
  </si>
  <si>
    <t>徳岡俊介</t>
  </si>
  <si>
    <t>とくおかしゅんすけ</t>
  </si>
  <si>
    <t>中澤渓進</t>
  </si>
  <si>
    <t>なかざわけいしん</t>
  </si>
  <si>
    <t>中嶋百蔵</t>
  </si>
  <si>
    <t>なかじまももぞう</t>
  </si>
  <si>
    <t>中西澄海</t>
  </si>
  <si>
    <t>なかにしすかい</t>
  </si>
  <si>
    <t>西山佑斗</t>
  </si>
  <si>
    <t>にしやまゆうと</t>
  </si>
  <si>
    <t>原島裕一</t>
  </si>
  <si>
    <t>はらしまひろかず</t>
  </si>
  <si>
    <t>保科魁</t>
  </si>
  <si>
    <t>ほしなかい</t>
  </si>
  <si>
    <t>松元 大空</t>
  </si>
  <si>
    <t>まつもと たく</t>
  </si>
  <si>
    <t>山口　宗大</t>
  </si>
  <si>
    <t>ヤマグチ　ソウタ</t>
  </si>
  <si>
    <t>吉葉誉将</t>
  </si>
  <si>
    <t>よしばたかひろ</t>
  </si>
  <si>
    <t>三澤智暉</t>
  </si>
  <si>
    <t>みさわもとき</t>
  </si>
  <si>
    <t>林亮佑</t>
  </si>
  <si>
    <t>はやしりょうすけ</t>
  </si>
  <si>
    <t>堅田隆之介</t>
  </si>
  <si>
    <t>かただりゅうのすけ</t>
  </si>
  <si>
    <t>石川琳久</t>
  </si>
  <si>
    <t>いしかわりく</t>
  </si>
  <si>
    <t>山村瑛</t>
  </si>
  <si>
    <t>やまむらあきら</t>
  </si>
  <si>
    <t>大川　虎之介</t>
  </si>
  <si>
    <t>おおかわ　とらのすけ</t>
  </si>
  <si>
    <t>坪井亮哉</t>
  </si>
  <si>
    <t>つぼいりょうや</t>
  </si>
  <si>
    <t>鯉渕竜大</t>
  </si>
  <si>
    <t>こいぶちりゅうだい</t>
  </si>
  <si>
    <t>平岡祐馬</t>
  </si>
  <si>
    <t>ひらおかゆうま</t>
  </si>
  <si>
    <t>田邊優登</t>
  </si>
  <si>
    <t>たなべゆうと</t>
  </si>
  <si>
    <t>世古　大介</t>
  </si>
  <si>
    <t>せこ　だいすけ</t>
  </si>
  <si>
    <t>上川名琉人</t>
  </si>
  <si>
    <t>かみかわなりゅうと</t>
  </si>
  <si>
    <t>MUB</t>
  </si>
  <si>
    <t>吉崎圭哉</t>
  </si>
  <si>
    <t>よしざきけいや</t>
  </si>
  <si>
    <t>宮澤晃永</t>
  </si>
  <si>
    <t>みやざわ　あきのぶ</t>
  </si>
  <si>
    <t>佐々木崇成</t>
  </si>
  <si>
    <t>ささきたかなり</t>
  </si>
  <si>
    <t>久保田結理</t>
  </si>
  <si>
    <t>くぼたゆり</t>
  </si>
  <si>
    <t>廣江綿文</t>
  </si>
  <si>
    <t>ひろえわたふみ</t>
  </si>
  <si>
    <t>古角　海志</t>
  </si>
  <si>
    <t>ふるかど　かいじ</t>
  </si>
  <si>
    <t>茶谷太郎</t>
  </si>
  <si>
    <t>ちゃやたろう</t>
  </si>
  <si>
    <t>山田和輝</t>
  </si>
  <si>
    <t>やまだかずき</t>
  </si>
  <si>
    <t>澤田 紘希</t>
  </si>
  <si>
    <t>さわだ ひろき</t>
  </si>
  <si>
    <t>清水快</t>
  </si>
  <si>
    <t>しみず かい</t>
  </si>
  <si>
    <t>鈴木悠太</t>
  </si>
  <si>
    <t>すずきゆうた</t>
  </si>
  <si>
    <t>関滉太</t>
  </si>
  <si>
    <t>せきこうた</t>
  </si>
  <si>
    <t>酒井敬吾</t>
  </si>
  <si>
    <t>さかいけいご</t>
  </si>
  <si>
    <t>領内悠真</t>
  </si>
  <si>
    <t>りょうないゆうま</t>
  </si>
  <si>
    <t>荻野友希</t>
  </si>
  <si>
    <t>おぎのともき</t>
  </si>
  <si>
    <t>西澤汰知</t>
  </si>
  <si>
    <t>にしざわたいち</t>
  </si>
  <si>
    <t>中野啓太</t>
  </si>
  <si>
    <t>なかのけいた</t>
  </si>
  <si>
    <t>泉谷光紀</t>
  </si>
  <si>
    <t>いずみやこうき</t>
  </si>
  <si>
    <t>竹内浩志</t>
  </si>
  <si>
    <t>たけうちひろし</t>
  </si>
  <si>
    <t>増井健人</t>
  </si>
  <si>
    <t>ますいけんと</t>
  </si>
  <si>
    <t>前嶋透久</t>
  </si>
  <si>
    <t>まえしまゆきひさ</t>
  </si>
  <si>
    <t>佐藤千尋</t>
  </si>
  <si>
    <t>さとうちひろ</t>
  </si>
  <si>
    <t>長友悠</t>
  </si>
  <si>
    <t>ながともはるか</t>
  </si>
  <si>
    <t>香西彩名</t>
  </si>
  <si>
    <t>こうざいあやな</t>
  </si>
  <si>
    <t>手塚啄朗</t>
  </si>
  <si>
    <t>てづかたくろう</t>
  </si>
  <si>
    <t>恒川穂花</t>
  </si>
  <si>
    <t>つねかわほのか</t>
  </si>
  <si>
    <t>安部雄真</t>
  </si>
  <si>
    <t>あべゆうま</t>
  </si>
  <si>
    <t>大場理主</t>
  </si>
  <si>
    <t>おおばまさかず</t>
  </si>
  <si>
    <t>渥見大成</t>
  </si>
  <si>
    <t>あつみたいせい</t>
  </si>
  <si>
    <t>岩城美奈</t>
  </si>
  <si>
    <t>いわきみな</t>
  </si>
  <si>
    <t>久慈洋平</t>
  </si>
  <si>
    <t>くじようへい</t>
  </si>
  <si>
    <t>白川和希</t>
  </si>
  <si>
    <t>しらかわかずき</t>
  </si>
  <si>
    <t>佐々木義紀</t>
  </si>
  <si>
    <t>ささきよしのり</t>
  </si>
  <si>
    <t>田中僚祐</t>
  </si>
  <si>
    <t>たなかりょうすけ</t>
  </si>
  <si>
    <t>野村 恒裕</t>
  </si>
  <si>
    <t>のむら つねひろ</t>
  </si>
  <si>
    <t>畑　敦也</t>
  </si>
  <si>
    <t>はたあつや</t>
  </si>
  <si>
    <t>林明穂</t>
  </si>
  <si>
    <t>はやしあきほ</t>
  </si>
  <si>
    <t>堀口航</t>
  </si>
  <si>
    <t>ほりぐちわたる</t>
  </si>
  <si>
    <t>宮津奈緒美</t>
  </si>
  <si>
    <t>みやづなおみ</t>
  </si>
  <si>
    <t>盛永悠太</t>
  </si>
  <si>
    <t>もりながゆうた</t>
  </si>
  <si>
    <t>横山大樹</t>
  </si>
  <si>
    <t>よこやまたいき</t>
  </si>
  <si>
    <t>鷲津加子</t>
  </si>
  <si>
    <t>わしづかこ</t>
  </si>
  <si>
    <t>小島佑太</t>
  </si>
  <si>
    <t>こじまゆうた</t>
  </si>
  <si>
    <t>平出 駿</t>
  </si>
  <si>
    <t>ひらいで しゅん</t>
  </si>
  <si>
    <t>倉本 大地</t>
  </si>
  <si>
    <t>くらもと だいち</t>
  </si>
  <si>
    <t>山口 悠斗</t>
  </si>
  <si>
    <t>やまぐち ゆうと</t>
  </si>
  <si>
    <t>竹下 恭成</t>
  </si>
  <si>
    <t>たけした きょうせい</t>
  </si>
  <si>
    <t>山田 大翔</t>
  </si>
  <si>
    <t>やまだ ひろと</t>
  </si>
  <si>
    <t>岡田 大河</t>
  </si>
  <si>
    <t>おかだ たいが</t>
  </si>
  <si>
    <t>菊地 航平</t>
  </si>
  <si>
    <t>きくち こうへい</t>
  </si>
  <si>
    <t>小堀 拓馬</t>
  </si>
  <si>
    <t>こぼり たくま</t>
  </si>
  <si>
    <t>西澤 秋甫</t>
  </si>
  <si>
    <t>にしざわ しゅうすけ</t>
  </si>
  <si>
    <t>高橋忠大</t>
  </si>
  <si>
    <t>たかはし　あつと</t>
  </si>
  <si>
    <t>北海道大学</t>
  </si>
  <si>
    <t>佐塚真奈</t>
  </si>
  <si>
    <t>さづかまな</t>
  </si>
  <si>
    <t>3月15、16日</t>
  </si>
  <si>
    <t>○不泊申請を出す</t>
  </si>
  <si>
    <t>船橋河輝</t>
  </si>
  <si>
    <t>ふなはしこうき</t>
  </si>
  <si>
    <t>溝端宏司</t>
  </si>
  <si>
    <t>みぞばたひろし</t>
  </si>
  <si>
    <t>佐藤愛莉</t>
  </si>
  <si>
    <t>さとうあいり</t>
  </si>
  <si>
    <t>齋藤梢</t>
  </si>
  <si>
    <t>さいとうこずえ</t>
  </si>
  <si>
    <t>地田朋祐</t>
  </si>
  <si>
    <t>ちだともひろ</t>
  </si>
  <si>
    <t>木村野乃子</t>
  </si>
  <si>
    <t>きむらののこ</t>
  </si>
  <si>
    <t>丸山仁一</t>
  </si>
  <si>
    <t>まるやまじんいち</t>
  </si>
  <si>
    <t>小林若菜</t>
  </si>
  <si>
    <t>こばやしわかな</t>
  </si>
  <si>
    <t>岩沢優真</t>
  </si>
  <si>
    <t>いわさわゆうま</t>
  </si>
  <si>
    <t>羽田直樹</t>
  </si>
  <si>
    <t>はだなおき</t>
  </si>
  <si>
    <t>鈴木敬太</t>
  </si>
  <si>
    <t>すずきけいた</t>
  </si>
  <si>
    <t>坂本拓登</t>
  </si>
  <si>
    <t>さかもとたくと</t>
  </si>
  <si>
    <t>土田隼人</t>
  </si>
  <si>
    <t>つちだはやと</t>
  </si>
  <si>
    <t>泉田弥壱</t>
  </si>
  <si>
    <t>いずた　やいち</t>
  </si>
  <si>
    <t>吉野耀介</t>
  </si>
  <si>
    <t>よしの　ようすけ</t>
  </si>
  <si>
    <t>大音紗希</t>
  </si>
  <si>
    <t>おおと　さき</t>
  </si>
  <si>
    <t>小浦姿</t>
  </si>
  <si>
    <t>こうらすがた</t>
  </si>
  <si>
    <t>本多哲大</t>
  </si>
  <si>
    <t>ほんだあきひろ</t>
  </si>
  <si>
    <t>田切香帆</t>
  </si>
  <si>
    <t>たぎりかほ</t>
  </si>
  <si>
    <t>内潟風翔</t>
  </si>
  <si>
    <t>うちかたかざと</t>
  </si>
  <si>
    <t>平野良</t>
  </si>
  <si>
    <t>ひらのりょう</t>
  </si>
  <si>
    <t>宮城学院女子大学</t>
  </si>
  <si>
    <t>千葉愛莉</t>
  </si>
  <si>
    <t>ちばあいり</t>
  </si>
  <si>
    <t>小瀧七実</t>
  </si>
  <si>
    <t>こたきななみ</t>
  </si>
  <si>
    <t>橋本さくら</t>
  </si>
  <si>
    <t>はしもとさくら</t>
  </si>
  <si>
    <t>菊池こころ</t>
  </si>
  <si>
    <t>きくちこころ</t>
  </si>
  <si>
    <t>小林菜々子</t>
  </si>
  <si>
    <t>こばやしななこ</t>
  </si>
  <si>
    <t>高梨華世</t>
  </si>
  <si>
    <t>たかなしはなよ</t>
  </si>
  <si>
    <t>渡部知優</t>
  </si>
  <si>
    <t>わたなべちひろ</t>
  </si>
  <si>
    <t>芦野冬果</t>
  </si>
  <si>
    <t>あしのふゆか</t>
  </si>
  <si>
    <t>後藤 瑠佳</t>
  </si>
  <si>
    <t>ごとう るか</t>
  </si>
  <si>
    <t>齋藤 香穂</t>
  </si>
  <si>
    <t>さいとう かほ</t>
  </si>
  <si>
    <t>千葉 望央</t>
  </si>
  <si>
    <t>ちばみお</t>
  </si>
  <si>
    <t>畠山 碧</t>
  </si>
  <si>
    <t>はたけやまあおい</t>
  </si>
  <si>
    <t>岩手県立大学</t>
  </si>
  <si>
    <t>竹花彩加</t>
  </si>
  <si>
    <t>たけはなあやか</t>
  </si>
  <si>
    <t>小林和花</t>
  </si>
  <si>
    <t>こばやしのどか</t>
  </si>
  <si>
    <t>深田祐衣</t>
  </si>
  <si>
    <t>ふかだゆい</t>
  </si>
  <si>
    <t>久慈琢斗</t>
  </si>
  <si>
    <t>くじたくと</t>
  </si>
  <si>
    <t>浅沼 まい</t>
  </si>
  <si>
    <t>あさぬま まい</t>
  </si>
  <si>
    <t>東京農業大学（オホーツク）</t>
  </si>
  <si>
    <t>寺嶋謙一郎</t>
  </si>
  <si>
    <t>てらしまけんいちろう</t>
  </si>
  <si>
    <t>中村記念病院附属看護学校</t>
  </si>
  <si>
    <t>大橋　美空</t>
  </si>
  <si>
    <t>おおはし　みく</t>
  </si>
  <si>
    <t>金沢大学</t>
  </si>
  <si>
    <t>山下和乃</t>
  </si>
  <si>
    <t>やましたかずの</t>
  </si>
  <si>
    <t>大野航洋</t>
  </si>
  <si>
    <t>おおのこうよう</t>
  </si>
  <si>
    <t>大木翔太郎</t>
  </si>
  <si>
    <t>おおきしょうたろう</t>
  </si>
  <si>
    <t>加藤聡一郎</t>
  </si>
  <si>
    <t>かとうそういちろう</t>
  </si>
  <si>
    <t>新潟大学</t>
  </si>
  <si>
    <t>中沢千聖</t>
  </si>
  <si>
    <t>なかざわちさと</t>
  </si>
  <si>
    <t>不泊申請待ち</t>
  </si>
  <si>
    <t>馬場晴太郎</t>
  </si>
  <si>
    <t>ばばはるたろう</t>
  </si>
  <si>
    <t>野口彰洋</t>
  </si>
  <si>
    <t>のぐちあきひろ</t>
  </si>
  <si>
    <t>遠藤翔太</t>
  </si>
  <si>
    <t>えんどうしょうた</t>
  </si>
  <si>
    <t>小島宗慈</t>
  </si>
  <si>
    <t>こじましゅうじ</t>
  </si>
  <si>
    <t>小山勇士</t>
  </si>
  <si>
    <t>こやまはやと</t>
  </si>
  <si>
    <t>丹沢台</t>
  </si>
  <si>
    <t>たんざわうてな</t>
  </si>
  <si>
    <t>平塚空</t>
  </si>
  <si>
    <t>ひらつかかなた</t>
  </si>
  <si>
    <t>森田龍雲</t>
  </si>
  <si>
    <t>もりたりゅううん</t>
  </si>
  <si>
    <t>酒川卓登</t>
  </si>
  <si>
    <t>さけがわたくと</t>
  </si>
  <si>
    <t>八巻伶門</t>
  </si>
  <si>
    <t>やまきれもん</t>
  </si>
  <si>
    <t>澤野祐希</t>
  </si>
  <si>
    <t>さわのゆうき</t>
  </si>
  <si>
    <t>市橋駿</t>
  </si>
  <si>
    <t>いちはししゅん</t>
  </si>
  <si>
    <t>伊藤滉太</t>
  </si>
  <si>
    <t>いとうこうた</t>
  </si>
  <si>
    <t>大石遥</t>
  </si>
  <si>
    <t>おおいしはるか</t>
  </si>
  <si>
    <t>岡田航大</t>
  </si>
  <si>
    <t>おかだこうだい</t>
  </si>
  <si>
    <t>神谷篤大</t>
  </si>
  <si>
    <t>かみやあつひろ</t>
  </si>
  <si>
    <t>柴崎愛有</t>
  </si>
  <si>
    <t>しばさきあいり</t>
  </si>
  <si>
    <t>羽鳥汐音</t>
  </si>
  <si>
    <t>はとりしおね</t>
  </si>
  <si>
    <t>お茶の水女子大学</t>
  </si>
  <si>
    <t>竹林茜音</t>
  </si>
  <si>
    <t>たけばやしあかね</t>
  </si>
  <si>
    <t>町田千優</t>
  </si>
  <si>
    <t>まちだちひろ</t>
  </si>
  <si>
    <t>森彩葉</t>
  </si>
  <si>
    <t>もりあやは</t>
  </si>
  <si>
    <t>砂田優萌子</t>
  </si>
  <si>
    <t>すなだゆめこ</t>
  </si>
  <si>
    <t>松塚乃愛</t>
  </si>
  <si>
    <t>まつづかのあ</t>
  </si>
  <si>
    <t>宮田鈴子</t>
  </si>
  <si>
    <t>みやたすずこ</t>
  </si>
  <si>
    <t>山中望</t>
  </si>
  <si>
    <t>やまなかのぞみ</t>
  </si>
  <si>
    <t>慶應義塾大学</t>
  </si>
  <si>
    <t>鍛原秀顕</t>
  </si>
  <si>
    <t>かじわらひであき</t>
  </si>
  <si>
    <t>持地怜太朗</t>
  </si>
  <si>
    <t>もちじりょうたろう</t>
  </si>
  <si>
    <t>岩渕大起</t>
  </si>
  <si>
    <t>いわぶちたいき</t>
  </si>
  <si>
    <t>滝沢悠斗</t>
  </si>
  <si>
    <t>たきさわゆうと</t>
  </si>
  <si>
    <t>野口優心</t>
  </si>
  <si>
    <t>のぐちゆうしん</t>
  </si>
  <si>
    <t>田口凜太郎</t>
  </si>
  <si>
    <t>たぐちりんたろう</t>
  </si>
  <si>
    <t>成川遼大</t>
  </si>
  <si>
    <t>なるかわりょうた</t>
  </si>
  <si>
    <t>西田隼人</t>
  </si>
  <si>
    <t>にしだはやと</t>
  </si>
  <si>
    <t>河合優飛</t>
  </si>
  <si>
    <t>かわいゆうひ</t>
  </si>
  <si>
    <t>長谷川沙良</t>
  </si>
  <si>
    <t>はせがわさら</t>
  </si>
  <si>
    <t>西尾智奏</t>
  </si>
  <si>
    <t>にしおともかな</t>
  </si>
  <si>
    <t>瀧澤陸</t>
  </si>
  <si>
    <t>たきざわりく</t>
  </si>
  <si>
    <t>篠田良太</t>
  </si>
  <si>
    <t>しのだりょうた</t>
  </si>
  <si>
    <t>矢野晶</t>
  </si>
  <si>
    <t>やのあきら</t>
  </si>
  <si>
    <t>春海輝道</t>
  </si>
  <si>
    <t>はるみてるみち</t>
  </si>
  <si>
    <t>徳田義博</t>
  </si>
  <si>
    <t>とくだよしひろ</t>
  </si>
  <si>
    <t>鈴木皓稀</t>
  </si>
  <si>
    <t>すずきこうき</t>
  </si>
  <si>
    <t>河井洋太郎</t>
  </si>
  <si>
    <t>かわいようたろう</t>
  </si>
  <si>
    <t>村田康太朗</t>
  </si>
  <si>
    <t>むらたこうたろう</t>
  </si>
  <si>
    <t>竹下晃貴</t>
  </si>
  <si>
    <t>たけしたこうき</t>
  </si>
  <si>
    <t>上柳宏介</t>
  </si>
  <si>
    <t>うえやなぎこうすけ</t>
  </si>
  <si>
    <t>為我井陽介</t>
  </si>
  <si>
    <t>ためがいようすけ</t>
  </si>
  <si>
    <t>今林智輝</t>
  </si>
  <si>
    <t>いまばやしともき</t>
  </si>
  <si>
    <t>児島在央</t>
  </si>
  <si>
    <t>こじまあきひろ</t>
  </si>
  <si>
    <t>清水康介</t>
  </si>
  <si>
    <t>しみずこうすけ</t>
  </si>
  <si>
    <t>奥田知輝</t>
  </si>
  <si>
    <t>おくだともき</t>
  </si>
  <si>
    <t>桒原大雅</t>
  </si>
  <si>
    <t>くわばらたいが</t>
  </si>
  <si>
    <t>常広寿哉</t>
  </si>
  <si>
    <t>つねひろとしや</t>
  </si>
  <si>
    <t>小森大輔</t>
  </si>
  <si>
    <t>こもりだいすけ</t>
  </si>
  <si>
    <t>磯野匠</t>
  </si>
  <si>
    <t>いそのたくみ</t>
  </si>
  <si>
    <t>山崎有里彩</t>
  </si>
  <si>
    <t>やまざきありさ</t>
  </si>
  <si>
    <t>西田駿</t>
  </si>
  <si>
    <t>にしだしゅん</t>
  </si>
  <si>
    <t>木口瑞穂</t>
  </si>
  <si>
    <t>きぐちみずほ</t>
  </si>
  <si>
    <t>加藤偉於</t>
  </si>
  <si>
    <t>かとういお</t>
  </si>
  <si>
    <t>北江渓吾</t>
  </si>
  <si>
    <t>きたえけいご</t>
  </si>
  <si>
    <t>増子直人</t>
  </si>
  <si>
    <t>ますこなおと</t>
  </si>
  <si>
    <t>川邊太清</t>
  </si>
  <si>
    <t>かわべたいせい</t>
  </si>
  <si>
    <t>倉上 英</t>
  </si>
  <si>
    <t>くらかみ すぐる</t>
  </si>
  <si>
    <t>浦部 健二</t>
  </si>
  <si>
    <t>うらべ けんじ</t>
  </si>
  <si>
    <t>今井 悠</t>
  </si>
  <si>
    <t>いまい ゆう</t>
  </si>
  <si>
    <t>千葉大学</t>
  </si>
  <si>
    <t>細川結愛</t>
  </si>
  <si>
    <t>ほそかわゆいな</t>
  </si>
  <si>
    <t>佐藤樹</t>
  </si>
  <si>
    <t>さとういつき</t>
  </si>
  <si>
    <t>笛木悠慎</t>
  </si>
  <si>
    <t>ふえきゆうま</t>
  </si>
  <si>
    <t>増渕友汰</t>
  </si>
  <si>
    <t>ますぶちゆうた</t>
  </si>
  <si>
    <t>鈴木隼人</t>
  </si>
  <si>
    <t>すずきはやと</t>
  </si>
  <si>
    <t>藤ノ木智大</t>
  </si>
  <si>
    <t>ふじのきともひろ</t>
  </si>
  <si>
    <t>山田海音</t>
  </si>
  <si>
    <t>やまだかいと</t>
  </si>
  <si>
    <t>老野達哉</t>
  </si>
  <si>
    <t>おいのたつや</t>
  </si>
  <si>
    <t>岡田晟嗣</t>
  </si>
  <si>
    <t>おかだせいじ</t>
  </si>
  <si>
    <t>田中颯太朗</t>
  </si>
  <si>
    <t>たなか　そうたろう</t>
  </si>
  <si>
    <t>長澤徳英</t>
  </si>
  <si>
    <t>ながさわとくひで</t>
  </si>
  <si>
    <t>古谷那奈</t>
  </si>
  <si>
    <t>ふるたになな</t>
  </si>
  <si>
    <t>照井真実</t>
  </si>
  <si>
    <t>てるいまみ</t>
  </si>
  <si>
    <t>市川楓大</t>
  </si>
  <si>
    <t>いちかわふうた</t>
  </si>
  <si>
    <t>片岡明日香</t>
  </si>
  <si>
    <t>かたおかあすか</t>
  </si>
  <si>
    <t>小野萌菜</t>
  </si>
  <si>
    <t>おのもえな</t>
  </si>
  <si>
    <t>皆上直香</t>
  </si>
  <si>
    <t>みなかみなおか</t>
  </si>
  <si>
    <t>森旭陽</t>
  </si>
  <si>
    <t>もりあさひ</t>
  </si>
  <si>
    <t>冨田明花</t>
  </si>
  <si>
    <t>とみためいか</t>
  </si>
  <si>
    <t>高田滉平</t>
  </si>
  <si>
    <t>たかだこうへい</t>
  </si>
  <si>
    <t>寺町俊輝</t>
  </si>
  <si>
    <t>てらまちとしき</t>
  </si>
  <si>
    <t>石原怜甫</t>
  </si>
  <si>
    <t>いしはらりょうすけ</t>
  </si>
  <si>
    <t>高塚碩己</t>
  </si>
  <si>
    <t>たかつかひろき</t>
  </si>
  <si>
    <t>北原隆明</t>
  </si>
  <si>
    <t>きたはらたかあき</t>
  </si>
  <si>
    <t>八房穣</t>
  </si>
  <si>
    <t>やぶさじょう</t>
  </si>
  <si>
    <t>佐藤 宏紀</t>
  </si>
  <si>
    <t>さとう ひろき</t>
  </si>
  <si>
    <t>大六野 祐斗</t>
  </si>
  <si>
    <t>だいろくの ゆうと</t>
  </si>
  <si>
    <t>真家 遼介</t>
  </si>
  <si>
    <t>まいえ りょうすけ</t>
  </si>
  <si>
    <t>森下 遥</t>
  </si>
  <si>
    <t>もりした はるか</t>
  </si>
  <si>
    <t>筑波大学</t>
  </si>
  <si>
    <t>澤本 隆聖</t>
  </si>
  <si>
    <t>さわもと りゅうせい</t>
  </si>
  <si>
    <t>鈴木 颯太</t>
  </si>
  <si>
    <t>すずき そうた</t>
  </si>
  <si>
    <t>池内 歩</t>
  </si>
  <si>
    <t>いけうち あゆむ</t>
  </si>
  <si>
    <t>梅園 雅史</t>
  </si>
  <si>
    <t>うめぞの まさし</t>
  </si>
  <si>
    <t>梅本 結</t>
  </si>
  <si>
    <t>うめもと ゆい</t>
  </si>
  <si>
    <t>小川 奈菜</t>
  </si>
  <si>
    <t>おがわ なな</t>
  </si>
  <si>
    <t>小野塚 智美</t>
  </si>
  <si>
    <t>おのづか ともみ</t>
  </si>
  <si>
    <t>加藤 賢斗</t>
  </si>
  <si>
    <t>かとう けんと</t>
  </si>
  <si>
    <t>川勝 健太</t>
  </si>
  <si>
    <t>かわかつ けんた</t>
  </si>
  <si>
    <t>斉藤 大己</t>
  </si>
  <si>
    <t>さいとう たいき</t>
  </si>
  <si>
    <t>佐々木 大良</t>
  </si>
  <si>
    <t>ささき たいら</t>
  </si>
  <si>
    <t>島倉 大門</t>
  </si>
  <si>
    <t>しまくら だいもん</t>
  </si>
  <si>
    <t>鈴木 史麿</t>
  </si>
  <si>
    <t>すずき ふみまろ</t>
  </si>
  <si>
    <t>徳地 一真</t>
  </si>
  <si>
    <t>とくち かずま</t>
  </si>
  <si>
    <t>萩谷 良介</t>
  </si>
  <si>
    <t>はぎや りょうすけ</t>
  </si>
  <si>
    <t>原 悠太</t>
  </si>
  <si>
    <t>はら ゆうた</t>
  </si>
  <si>
    <t>美濃部 遼</t>
  </si>
  <si>
    <t>みのべ りょう</t>
  </si>
  <si>
    <t>若林 渉</t>
  </si>
  <si>
    <t>わかばやし わたる</t>
  </si>
  <si>
    <t>浦川沙耶佳</t>
  </si>
  <si>
    <t>うらかわ さやか</t>
  </si>
  <si>
    <t>小島菜月</t>
  </si>
  <si>
    <t>こじま なつき</t>
  </si>
  <si>
    <t>滝沢和樹</t>
  </si>
  <si>
    <t>たきざわ かずき</t>
  </si>
  <si>
    <t>湊 春香</t>
  </si>
  <si>
    <t>みなと はるか</t>
  </si>
  <si>
    <t>山本 大地</t>
  </si>
  <si>
    <t>やまもと だいち</t>
  </si>
  <si>
    <t>中嶋 啓太</t>
  </si>
  <si>
    <t>なかじま けいた</t>
  </si>
  <si>
    <t>橋本 拓樹</t>
  </si>
  <si>
    <t>はしもと ひろき</t>
  </si>
  <si>
    <t>牧野 恵太</t>
  </si>
  <si>
    <t>まきの けいた</t>
  </si>
  <si>
    <t>竹下舜人</t>
  </si>
  <si>
    <t>たけしたしゅんと</t>
  </si>
  <si>
    <t>直江 隼輝</t>
  </si>
  <si>
    <t>なおえ しゅんき</t>
  </si>
  <si>
    <t>門野 大地</t>
  </si>
  <si>
    <t>かどの だいち</t>
  </si>
  <si>
    <t>木明 拓玖</t>
  </si>
  <si>
    <t>きみょう たく</t>
  </si>
  <si>
    <t>田中 雅崇</t>
  </si>
  <si>
    <t>たなか まさたか</t>
  </si>
  <si>
    <t>白戸 俊裕</t>
  </si>
  <si>
    <t>しらととしひろ</t>
  </si>
  <si>
    <t>佐々木 渉真</t>
  </si>
  <si>
    <t>ささき しょうま</t>
  </si>
  <si>
    <t>藤原 考太郎</t>
  </si>
  <si>
    <t>ふじわら こうたろう</t>
  </si>
  <si>
    <t>栗原 拓未</t>
  </si>
  <si>
    <t>くりはら たくみ</t>
  </si>
  <si>
    <t>宮本 大翔</t>
  </si>
  <si>
    <t>みやもと ひろと</t>
  </si>
  <si>
    <t>小玉 幹太</t>
  </si>
  <si>
    <t>こだま かんた</t>
  </si>
  <si>
    <t>高野 誠</t>
  </si>
  <si>
    <t>たかの まこと</t>
  </si>
  <si>
    <t>川村 朝大</t>
  </si>
  <si>
    <t>かわむら あさひ</t>
  </si>
  <si>
    <t>田所 大樹</t>
  </si>
  <si>
    <t>たどころ ひろき</t>
  </si>
  <si>
    <t>山崎 葵</t>
  </si>
  <si>
    <t>やまさき あおい</t>
  </si>
  <si>
    <t>及川 悠太郎</t>
  </si>
  <si>
    <t>おいかわ ゆうたろう</t>
  </si>
  <si>
    <t>吉川 直希</t>
  </si>
  <si>
    <t>よしかわ なおき</t>
  </si>
  <si>
    <t>稲邊 拓哉</t>
  </si>
  <si>
    <t>いなべ たくや</t>
  </si>
  <si>
    <t>小野 健未</t>
  </si>
  <si>
    <t>おの たけみ</t>
  </si>
  <si>
    <t>谷口 瑞樹</t>
  </si>
  <si>
    <t>たにぐち みずき</t>
  </si>
  <si>
    <t>樋口 佳那</t>
  </si>
  <si>
    <t>ひぐち かな</t>
  </si>
  <si>
    <t>雲尾 岳宗</t>
  </si>
  <si>
    <t>くもお がくしゅう</t>
  </si>
  <si>
    <t>和田 真由子</t>
  </si>
  <si>
    <t>わだ まゆこ</t>
  </si>
  <si>
    <t>坂池 なつほ</t>
  </si>
  <si>
    <t>さかいけ なつほ</t>
  </si>
  <si>
    <t>森清 星也</t>
  </si>
  <si>
    <t>もりきよ せいや</t>
  </si>
  <si>
    <t>鎌倉京平</t>
  </si>
  <si>
    <t>かまくらきょうへい</t>
  </si>
  <si>
    <t>中井 健介</t>
  </si>
  <si>
    <t>なかい けんすけ</t>
  </si>
  <si>
    <t>市川 竣介</t>
  </si>
  <si>
    <t>いちかわ しゅんすけ</t>
  </si>
  <si>
    <t>山崎 晃一</t>
  </si>
  <si>
    <t>やまざき こういち</t>
  </si>
  <si>
    <t>東京大学</t>
  </si>
  <si>
    <t>梶本 和</t>
  </si>
  <si>
    <t>かじもと やまと</t>
  </si>
  <si>
    <t>久米 慧</t>
  </si>
  <si>
    <t>くめ さとし</t>
  </si>
  <si>
    <t>生田 真大</t>
  </si>
  <si>
    <t>いくた まさひろ</t>
  </si>
  <si>
    <t>森下 謙</t>
  </si>
  <si>
    <t>もりした けん</t>
  </si>
  <si>
    <t>宇田 陽介</t>
  </si>
  <si>
    <t>うだ ようすけ</t>
  </si>
  <si>
    <t>榎本 健</t>
  </si>
  <si>
    <t>えのもと けん</t>
  </si>
  <si>
    <t>大谷 悠斗</t>
  </si>
  <si>
    <t>おおたに ゆうと</t>
  </si>
  <si>
    <t>大森 寛玖</t>
  </si>
  <si>
    <t>おおもり ひろき</t>
  </si>
  <si>
    <t>角谷 拓海</t>
  </si>
  <si>
    <t>かどや たくみ</t>
  </si>
  <si>
    <t>近藤 葉流</t>
  </si>
  <si>
    <t>こんどう はる</t>
  </si>
  <si>
    <t>鈴木 遊人</t>
  </si>
  <si>
    <t>すずき ゆうと</t>
  </si>
  <si>
    <t>鈴木 耀太</t>
  </si>
  <si>
    <t>すずき ようだい</t>
  </si>
  <si>
    <t>中村 仁紀</t>
  </si>
  <si>
    <t>なかむら まさのり</t>
  </si>
  <si>
    <t>波羅 哲</t>
  </si>
  <si>
    <t>はら さとる</t>
  </si>
  <si>
    <t>原 泰也</t>
  </si>
  <si>
    <t>はら たいや</t>
  </si>
  <si>
    <t>春田 将希</t>
  </si>
  <si>
    <t>はるた まさき</t>
  </si>
  <si>
    <t>福田 泰士</t>
  </si>
  <si>
    <t>ふくだ たいし</t>
  </si>
  <si>
    <t>渡邉 魁</t>
  </si>
  <si>
    <t>わたなべ かい</t>
  </si>
  <si>
    <t>飯田 菜々子</t>
  </si>
  <si>
    <t>いいだ ななこ</t>
  </si>
  <si>
    <t>大野 栞</t>
  </si>
  <si>
    <t>おおの しおり</t>
  </si>
  <si>
    <t>田中 志歩</t>
  </si>
  <si>
    <t>たなか しほ</t>
  </si>
  <si>
    <t>堀 美津季</t>
  </si>
  <si>
    <t>ほり みづき</t>
  </si>
  <si>
    <t>山崎 美怜</t>
  </si>
  <si>
    <t>やまざき みれい</t>
  </si>
  <si>
    <t>山村 真由</t>
  </si>
  <si>
    <t>やまむら まゆ</t>
  </si>
  <si>
    <t>渡邉 陽与</t>
  </si>
  <si>
    <t>わたなべ ひよ</t>
  </si>
  <si>
    <t>岩鼻 晃樹</t>
  </si>
  <si>
    <t>いわはな こうき</t>
  </si>
  <si>
    <t>安藤 祐輝</t>
  </si>
  <si>
    <t>あんどう ゆうき</t>
  </si>
  <si>
    <t>原田 晴司</t>
  </si>
  <si>
    <t>はらだ せいじ</t>
  </si>
  <si>
    <t>湯地 晶子</t>
  </si>
  <si>
    <t>ゆじ あきこ</t>
  </si>
  <si>
    <t>石川　翔太</t>
  </si>
  <si>
    <t>いしかわ　しょうた</t>
  </si>
  <si>
    <t>井村 真岳</t>
  </si>
  <si>
    <t>いむら　まさたけ</t>
  </si>
  <si>
    <t>木戸　友仁</t>
  </si>
  <si>
    <t>きど　ゆうじん</t>
  </si>
  <si>
    <t>栗田　稜也</t>
  </si>
  <si>
    <t>くりた　たかや</t>
  </si>
  <si>
    <t>本間　皓大</t>
  </si>
  <si>
    <t>ほんま　こうた</t>
  </si>
  <si>
    <t>山口　颯大</t>
  </si>
  <si>
    <t>やまぐち　はやと</t>
  </si>
  <si>
    <t>吉田　聖悟</t>
  </si>
  <si>
    <t>よしだ　せいご</t>
  </si>
  <si>
    <t>佐々木　奏太郎</t>
  </si>
  <si>
    <t>ささき　そうたろう</t>
  </si>
  <si>
    <t>小野山　航</t>
  </si>
  <si>
    <t>おのやま　こう</t>
  </si>
  <si>
    <t>小寺　智樹</t>
  </si>
  <si>
    <t>こでら　ともき</t>
  </si>
  <si>
    <t>遠藤浩明</t>
  </si>
  <si>
    <t>えんどうひろあき</t>
  </si>
  <si>
    <t>折橋　旺</t>
  </si>
  <si>
    <t>おりはし　おう</t>
  </si>
  <si>
    <t>岸　隼平</t>
  </si>
  <si>
    <t>きし　じゅんぺい</t>
  </si>
  <si>
    <t>佐藤　諒平</t>
  </si>
  <si>
    <t>さとう　りょうへい</t>
  </si>
  <si>
    <t>久保木　航</t>
  </si>
  <si>
    <t>くぼき　わたる</t>
  </si>
  <si>
    <t>遠藤　陽太</t>
  </si>
  <si>
    <t>えんどう　ようた</t>
  </si>
  <si>
    <t>佐藤　優太郎</t>
  </si>
  <si>
    <t>さとう　ゆうたろう</t>
  </si>
  <si>
    <t>長谷部　倫太</t>
  </si>
  <si>
    <t>はせべ　りんた</t>
  </si>
  <si>
    <t>三井　健世</t>
  </si>
  <si>
    <t>みつい　けんせい</t>
  </si>
  <si>
    <t>金子隼人</t>
  </si>
  <si>
    <t>かねこはやと</t>
  </si>
  <si>
    <t>綾野 拓全</t>
  </si>
  <si>
    <t>あやの たくま</t>
  </si>
  <si>
    <t>加賀谷 湧</t>
  </si>
  <si>
    <t>かがや ゆう</t>
  </si>
  <si>
    <t>中西 悠太</t>
  </si>
  <si>
    <t>なかにし ゆうた</t>
  </si>
  <si>
    <t>渡辺 陽太</t>
  </si>
  <si>
    <t>わたなべ ようた</t>
  </si>
  <si>
    <t>東京農工大学</t>
  </si>
  <si>
    <t>鎌田　芳明</t>
  </si>
  <si>
    <t>かまた　よしあき</t>
  </si>
  <si>
    <t>森田 裕也</t>
  </si>
  <si>
    <t>もりた ゆうや</t>
  </si>
  <si>
    <t>白井 季樹</t>
  </si>
  <si>
    <t>しらいとしき</t>
  </si>
  <si>
    <t>東京理科大学</t>
  </si>
  <si>
    <t>武谷 峻</t>
  </si>
  <si>
    <t>たけや しゅん</t>
  </si>
  <si>
    <t>光山 大樹</t>
  </si>
  <si>
    <t>こうやま たいき</t>
  </si>
  <si>
    <t>森 颯太</t>
  </si>
  <si>
    <t>もり そうた</t>
  </si>
  <si>
    <t>小野 聡久</t>
  </si>
  <si>
    <t>おの あきひさ</t>
  </si>
  <si>
    <t>三谷 武俊</t>
  </si>
  <si>
    <t>みたに たけとし</t>
  </si>
  <si>
    <t>間宮 一幸</t>
  </si>
  <si>
    <t>まみや かずゆき</t>
  </si>
  <si>
    <t>吉田 圭汰</t>
  </si>
  <si>
    <t>よしだ けいた</t>
  </si>
  <si>
    <t>野村 小蕗</t>
  </si>
  <si>
    <t>のむら こふき</t>
  </si>
  <si>
    <t>鈴木 博子</t>
  </si>
  <si>
    <t>すずき ひろこ</t>
  </si>
  <si>
    <t>坂井 果歩</t>
  </si>
  <si>
    <t>さかい かほ</t>
  </si>
  <si>
    <t>百田 怜世</t>
  </si>
  <si>
    <t>ももた れいせい</t>
  </si>
  <si>
    <t>井上 虎太朗</t>
  </si>
  <si>
    <t>いのうえ こたろう</t>
  </si>
  <si>
    <t>石渡恵一</t>
  </si>
  <si>
    <t>いしわたけいいち</t>
  </si>
  <si>
    <t>川浦哲心</t>
  </si>
  <si>
    <t>かわうらてっしん</t>
  </si>
  <si>
    <t>川原慧也</t>
  </si>
  <si>
    <t>かわはらけいや</t>
  </si>
  <si>
    <t>川村千晴</t>
  </si>
  <si>
    <t>かわむらちはる</t>
  </si>
  <si>
    <t>小池秀輔</t>
  </si>
  <si>
    <t>こいけしゅうすけ</t>
  </si>
  <si>
    <t>コットン巴亜斗</t>
  </si>
  <si>
    <t>こっとんはあと</t>
  </si>
  <si>
    <t>齊藤 遼也</t>
  </si>
  <si>
    <t>さいとう りょうや</t>
  </si>
  <si>
    <t>渋谷 悠人</t>
  </si>
  <si>
    <t>しぶや ゆうと</t>
  </si>
  <si>
    <t>中田 泰生</t>
  </si>
  <si>
    <t>なかた たいせい</t>
  </si>
  <si>
    <t>中山 香夏</t>
  </si>
  <si>
    <t>なかやま かな</t>
  </si>
  <si>
    <t>西崎 栄士</t>
  </si>
  <si>
    <t>にしざき えいじ</t>
  </si>
  <si>
    <t>西村 美穂</t>
  </si>
  <si>
    <t>にしむら みほ</t>
  </si>
  <si>
    <t>東出 侑大</t>
  </si>
  <si>
    <t>ひがしで ゆうだい</t>
  </si>
  <si>
    <t>堀井 聡一朗</t>
  </si>
  <si>
    <t>ほりい そういちろう</t>
  </si>
  <si>
    <t>三浦 花梨</t>
  </si>
  <si>
    <t>みうら かりん</t>
  </si>
  <si>
    <t>山本 有里也</t>
  </si>
  <si>
    <t>やまもと ゆりや</t>
  </si>
  <si>
    <t>山本 佳奈</t>
  </si>
  <si>
    <t>やまもと かな</t>
  </si>
  <si>
    <t>米富 健人</t>
  </si>
  <si>
    <t>よねとみけんと</t>
  </si>
  <si>
    <t>大塚誠也</t>
  </si>
  <si>
    <t>おおつかせいや</t>
  </si>
  <si>
    <t>渡部司</t>
  </si>
  <si>
    <t>わたなべつかさ</t>
  </si>
  <si>
    <t>宮川葵衣</t>
  </si>
  <si>
    <t>みやかわあおい</t>
  </si>
  <si>
    <t>浦中美里</t>
  </si>
  <si>
    <t>うらなかみさと</t>
  </si>
  <si>
    <t>京井亮太</t>
  </si>
  <si>
    <t>きょういりょうた</t>
  </si>
  <si>
    <t>佐野晴也</t>
  </si>
  <si>
    <t>さのはるや</t>
  </si>
  <si>
    <t>根本浩平</t>
  </si>
  <si>
    <t>ねもとこうへい</t>
  </si>
  <si>
    <t>黒田志音</t>
  </si>
  <si>
    <t>くろだしおん</t>
  </si>
  <si>
    <t>河崎崇広</t>
  </si>
  <si>
    <t>かわさきたかひろ</t>
  </si>
  <si>
    <t>法政大学</t>
  </si>
  <si>
    <t>岡崎　大希</t>
  </si>
  <si>
    <t>おかざき　だいき</t>
  </si>
  <si>
    <t>泉浦　旭秀</t>
  </si>
  <si>
    <t>いずみうら　あきひで</t>
  </si>
  <si>
    <t>佐野　勇仁</t>
  </si>
  <si>
    <t>さの　ゆうと</t>
  </si>
  <si>
    <t>山中　聡士</t>
  </si>
  <si>
    <t>やまなか　さとし</t>
  </si>
  <si>
    <t>和田　向日葵</t>
  </si>
  <si>
    <t>わだ　ひまり</t>
  </si>
  <si>
    <t>小野　慶真</t>
  </si>
  <si>
    <t>おの　けいま</t>
  </si>
  <si>
    <t>河内　絵里香</t>
  </si>
  <si>
    <t>かわうち　えりか</t>
  </si>
  <si>
    <t>弓田　和生</t>
  </si>
  <si>
    <t>ゆみた　かずき</t>
  </si>
  <si>
    <t>横浜国立大学</t>
  </si>
  <si>
    <t>大場 椋太</t>
  </si>
  <si>
    <t>おおば りょうた</t>
  </si>
  <si>
    <t>丹羽 里歩子</t>
  </si>
  <si>
    <t>にわ りほこ</t>
  </si>
  <si>
    <t>神保 翔麻</t>
  </si>
  <si>
    <t>じんぼ しょうま</t>
  </si>
  <si>
    <t>伊藤 悠真</t>
  </si>
  <si>
    <t>いとう ゆうま</t>
  </si>
  <si>
    <t>岩屋 亜海</t>
  </si>
  <si>
    <t>いわや あみ</t>
  </si>
  <si>
    <t>中舘 美卯</t>
  </si>
  <si>
    <t>なかだて みう</t>
  </si>
  <si>
    <t>藤本 優生</t>
  </si>
  <si>
    <t>ふじもと ゆうき</t>
  </si>
  <si>
    <t>伊藤 創</t>
  </si>
  <si>
    <t>いとう はじめ</t>
  </si>
  <si>
    <t>宇野 滉真</t>
  </si>
  <si>
    <t>うの こうま</t>
  </si>
  <si>
    <t>増田 卓也</t>
  </si>
  <si>
    <t>ますだ たくや</t>
  </si>
  <si>
    <t>木名瀬 慎平</t>
  </si>
  <si>
    <t>きなせ しんぺい</t>
  </si>
  <si>
    <t>脇田 知怜</t>
  </si>
  <si>
    <t>わきた ちさと</t>
  </si>
  <si>
    <t>今中 雄磨</t>
  </si>
  <si>
    <t>いまなか ゆうま</t>
  </si>
  <si>
    <t>工藤 優太</t>
  </si>
  <si>
    <t>くどう ゆうた</t>
  </si>
  <si>
    <t>望月 大輔</t>
  </si>
  <si>
    <t>もちづき だいすけ</t>
  </si>
  <si>
    <t>新倉 啓太</t>
  </si>
  <si>
    <t>にいくら けいた</t>
  </si>
  <si>
    <t>山田 和輝</t>
  </si>
  <si>
    <t>やまだ かずき</t>
  </si>
  <si>
    <t>中村 稔平</t>
  </si>
  <si>
    <t>なかむら じんぺい</t>
  </si>
  <si>
    <t>菅野 新太朗</t>
  </si>
  <si>
    <t>かんの しんたろう</t>
  </si>
  <si>
    <t>峰 龍太郎</t>
  </si>
  <si>
    <t>みね りゅうたろう</t>
  </si>
  <si>
    <t>大山 勇太</t>
  </si>
  <si>
    <t>おおやま ゆうた</t>
  </si>
  <si>
    <t>森 創之介</t>
  </si>
  <si>
    <t>もり そうのすけ</t>
  </si>
  <si>
    <t>長谷川　敬祐</t>
  </si>
  <si>
    <t>はせがわ　けいすけ</t>
  </si>
  <si>
    <t>秋山 拓臣</t>
  </si>
  <si>
    <t>あきやま　たくみ</t>
  </si>
  <si>
    <t>奈良崎 有香</t>
  </si>
  <si>
    <t>ならざき　ゆうか</t>
  </si>
  <si>
    <t>松浦 旦陽</t>
  </si>
  <si>
    <t>まつうら あさひ</t>
  </si>
  <si>
    <t>高橋 奈々香</t>
  </si>
  <si>
    <t>たかはし ななか</t>
  </si>
  <si>
    <t>高野 真人</t>
  </si>
  <si>
    <t>たかの まさと</t>
  </si>
  <si>
    <t>古吟 健晟</t>
  </si>
  <si>
    <t>こぎん けんせい</t>
  </si>
  <si>
    <t>関　草太</t>
  </si>
  <si>
    <t>せき　そうた</t>
  </si>
  <si>
    <t>熊谷 周</t>
  </si>
  <si>
    <t>くまがい あまね</t>
  </si>
  <si>
    <t>稲岡　航聖</t>
  </si>
  <si>
    <t>いなおか　こうせい</t>
  </si>
  <si>
    <t>奥田 一喜</t>
  </si>
  <si>
    <t>おくだ かずき</t>
  </si>
  <si>
    <t>上妻 慶太</t>
  </si>
  <si>
    <t>こうづま けいた</t>
  </si>
  <si>
    <t>井崎 竜之介</t>
  </si>
  <si>
    <t>いざき りゅうのすけ</t>
  </si>
  <si>
    <t>平澤 葵</t>
  </si>
  <si>
    <t>ひらさわ あおい</t>
  </si>
  <si>
    <t>金道 志野</t>
  </si>
  <si>
    <t>きんどう ゆきの</t>
  </si>
  <si>
    <t>桑原 唯歩</t>
  </si>
  <si>
    <t>くわはら ゆいほ</t>
  </si>
  <si>
    <t>東 翔希</t>
  </si>
  <si>
    <t>ひがし しょうき</t>
  </si>
  <si>
    <t>千葉 奨太朗</t>
  </si>
  <si>
    <t>ちば しょうたろう</t>
  </si>
  <si>
    <t>浅川	竣風</t>
  </si>
  <si>
    <t>あさかわ	はやて</t>
  </si>
  <si>
    <t>天田	鈴</t>
  </si>
  <si>
    <t>あまだ すず</t>
  </si>
  <si>
    <t>野口	遊瑚</t>
  </si>
  <si>
    <t>のぐち	ゆうご</t>
  </si>
  <si>
    <t>及川	貴大</t>
  </si>
  <si>
    <t>おいかわ	たかひろ</t>
  </si>
  <si>
    <t>村岡 泰輝</t>
  </si>
  <si>
    <t>むらおか たいき</t>
  </si>
  <si>
    <t>立教大学</t>
  </si>
  <si>
    <t>秋山尚人</t>
  </si>
  <si>
    <t>あきやまなおと</t>
  </si>
  <si>
    <t>新目 裕亮</t>
  </si>
  <si>
    <t>しんめ　ゆうすけ</t>
  </si>
  <si>
    <t>早稲田大学</t>
  </si>
  <si>
    <t>福室凜</t>
  </si>
  <si>
    <t>ふくむろりん</t>
  </si>
  <si>
    <t>清古光</t>
  </si>
  <si>
    <t>せいこひかる</t>
  </si>
  <si>
    <t>篠原本</t>
  </si>
  <si>
    <t>しのはらもと</t>
  </si>
  <si>
    <t>東野旭</t>
  </si>
  <si>
    <t>ひがしのあさひ</t>
  </si>
  <si>
    <t>木村康陽</t>
  </si>
  <si>
    <t>きむらこうよう</t>
  </si>
  <si>
    <t>津田宇立</t>
  </si>
  <si>
    <t>つだうりゅう</t>
  </si>
  <si>
    <t>松下晃二郎</t>
  </si>
  <si>
    <t>まつしたこうじろう</t>
  </si>
  <si>
    <t>酒井大毅</t>
  </si>
  <si>
    <t>さかいだいき</t>
  </si>
  <si>
    <t>冨澤滉貴</t>
  </si>
  <si>
    <t>とみざわこうき</t>
  </si>
  <si>
    <t>神崎隼多</t>
  </si>
  <si>
    <t>かんざきはやた</t>
  </si>
  <si>
    <t>徳本直記</t>
  </si>
  <si>
    <t>とくもとなおき</t>
  </si>
  <si>
    <t>吉岡実沙音</t>
  </si>
  <si>
    <t>よしおかみさと</t>
  </si>
  <si>
    <t>宇山　李紗</t>
  </si>
  <si>
    <t>うやま　りさ</t>
  </si>
  <si>
    <t>岡田健汰</t>
  </si>
  <si>
    <t>おかだけんた</t>
  </si>
  <si>
    <t>牧依瑠香</t>
  </si>
  <si>
    <t>まきいるか</t>
  </si>
  <si>
    <t>青木由奈</t>
  </si>
  <si>
    <t>あおきゆうな</t>
  </si>
  <si>
    <t>阿南隆征</t>
  </si>
  <si>
    <t>あなんりゅうせい</t>
  </si>
  <si>
    <t>平井龍都</t>
  </si>
  <si>
    <t>ひらいりゅうと</t>
  </si>
  <si>
    <t>前田舞</t>
  </si>
  <si>
    <t>まえだまい</t>
  </si>
  <si>
    <t>塩野谷壮馬</t>
  </si>
  <si>
    <t>しおのやそうま</t>
  </si>
  <si>
    <t>青木悠真</t>
  </si>
  <si>
    <t>あおきゆうま</t>
  </si>
  <si>
    <t>中川琉晟</t>
  </si>
  <si>
    <t>なかがわりゅうせい</t>
  </si>
  <si>
    <t>恵比木楓</t>
  </si>
  <si>
    <t>えびきかえで</t>
  </si>
  <si>
    <t>中塚大輝</t>
  </si>
  <si>
    <t>なかつかだいき</t>
  </si>
  <si>
    <t>岩下智紀</t>
  </si>
  <si>
    <t>いわしたともき</t>
  </si>
  <si>
    <t>町田真菜</t>
  </si>
  <si>
    <t>まちだまな</t>
  </si>
  <si>
    <t>新海百海</t>
  </si>
  <si>
    <t>しんかいもね</t>
  </si>
  <si>
    <t>豊田暁彦</t>
  </si>
  <si>
    <t>とよだあきひこ</t>
  </si>
  <si>
    <t>原総吾</t>
  </si>
  <si>
    <t>はらそうご</t>
  </si>
  <si>
    <t>市川優人</t>
  </si>
  <si>
    <t>いちかわゆうと</t>
  </si>
  <si>
    <t>藤掛凜大</t>
  </si>
  <si>
    <t>ふじかけりんた</t>
  </si>
  <si>
    <t>伊東京香</t>
  </si>
  <si>
    <t>いとうきょうか</t>
  </si>
  <si>
    <t>遠藤颯汰</t>
  </si>
  <si>
    <t>えんどうそうた</t>
  </si>
  <si>
    <t>実践女子大学</t>
  </si>
  <si>
    <t>高橋和々花</t>
  </si>
  <si>
    <t>たかはしななは</t>
  </si>
  <si>
    <t>林優奈</t>
  </si>
  <si>
    <t>はなしゆうな</t>
  </si>
  <si>
    <t>矢板橋秋香</t>
  </si>
  <si>
    <t>やいたばししゅうか</t>
  </si>
  <si>
    <t>酒井なるみ</t>
  </si>
  <si>
    <t>さかいなるみ</t>
  </si>
  <si>
    <t>兼子照実</t>
  </si>
  <si>
    <t>かねこてるみ</t>
  </si>
  <si>
    <t>久保田茉佑</t>
  </si>
  <si>
    <t>くぼたまゆ</t>
  </si>
  <si>
    <t>日比野 美幸</t>
  </si>
  <si>
    <t>ひびのみゆき</t>
  </si>
  <si>
    <t>秋元　珠羽</t>
  </si>
  <si>
    <t>あきもと　しゅう</t>
  </si>
  <si>
    <t>石名坂　奈緒</t>
  </si>
  <si>
    <t>いしなざか　なお</t>
  </si>
  <si>
    <t>平井　寿々乃</t>
  </si>
  <si>
    <t>ひらい　すずの</t>
  </si>
  <si>
    <t>橋村ひな</t>
  </si>
  <si>
    <t>はしむらひな</t>
  </si>
  <si>
    <t>一橋大学</t>
  </si>
  <si>
    <t>吉田悠多</t>
  </si>
  <si>
    <t>よしだゆうた</t>
  </si>
  <si>
    <t>大野俊太朗</t>
  </si>
  <si>
    <t>おおのしゅんたろう</t>
  </si>
  <si>
    <t>唐澤怜王</t>
  </si>
  <si>
    <t>からさわれお</t>
  </si>
  <si>
    <t>中島宗一郎</t>
  </si>
  <si>
    <t>なかじまそういちろう</t>
  </si>
  <si>
    <t>古谷優多</t>
  </si>
  <si>
    <t>ふるやゆうた</t>
  </si>
  <si>
    <t>石井裕</t>
  </si>
  <si>
    <t>いしいゆたか</t>
  </si>
  <si>
    <t>牟田悠真</t>
  </si>
  <si>
    <t>ムタユウマ</t>
  </si>
  <si>
    <t>藤田浩生</t>
  </si>
  <si>
    <t>ふじたこうき</t>
  </si>
  <si>
    <t>三宅峻介</t>
  </si>
  <si>
    <t>みやけりょうすけ</t>
  </si>
  <si>
    <t>望月佳</t>
  </si>
  <si>
    <t>もちづきかい</t>
  </si>
  <si>
    <t>笠松拓真</t>
  </si>
  <si>
    <t>かさまつたくま</t>
  </si>
  <si>
    <t>松井　俊輔</t>
  </si>
  <si>
    <t>まつい　しゅんすけ</t>
  </si>
  <si>
    <t>吉田　晃平</t>
  </si>
  <si>
    <t>よしだ　こうへい</t>
  </si>
  <si>
    <t>関和　小菊</t>
  </si>
  <si>
    <t>せきわ　こぎく</t>
  </si>
  <si>
    <t>丹治　聖陽</t>
  </si>
  <si>
    <t>たんじ　まさや</t>
  </si>
  <si>
    <t>伊藤　崇仁</t>
  </si>
  <si>
    <t>いとう　たかひと</t>
  </si>
  <si>
    <t>小野寺　悠太</t>
  </si>
  <si>
    <t>おのでら　ゆうた</t>
  </si>
  <si>
    <t>井上 拓紀</t>
  </si>
  <si>
    <t>いのうえ たくのり</t>
  </si>
  <si>
    <t>小川 亮太郎</t>
  </si>
  <si>
    <t>おがわ りょうたろう</t>
  </si>
  <si>
    <t>加賀 萌起</t>
  </si>
  <si>
    <t>かが もえき</t>
  </si>
  <si>
    <t>公森 達郎</t>
  </si>
  <si>
    <t>きみもり たつろう</t>
  </si>
  <si>
    <t>藤井 宣之</t>
  </si>
  <si>
    <t>ふじいのぶゆき</t>
  </si>
  <si>
    <t>相模女子大学</t>
  </si>
  <si>
    <t>今城佳子</t>
  </si>
  <si>
    <t>いまぎよしこ</t>
  </si>
  <si>
    <t>早川菜都</t>
  </si>
  <si>
    <t>はやかわなつ</t>
  </si>
  <si>
    <t>奥田協衣</t>
  </si>
  <si>
    <t>おくだかなえ</t>
  </si>
  <si>
    <t>井出千尋</t>
  </si>
  <si>
    <t>いでちひろ</t>
  </si>
  <si>
    <t>高橋美沙</t>
  </si>
  <si>
    <t>たかはしみさ</t>
  </si>
  <si>
    <t>高梨 史重</t>
  </si>
  <si>
    <t>たかなし ふみえ</t>
  </si>
  <si>
    <t>打越瑞重</t>
  </si>
  <si>
    <t>うちこしみづえ</t>
  </si>
  <si>
    <t>東京工業大学</t>
  </si>
  <si>
    <t>川中 林太郎</t>
  </si>
  <si>
    <t>かわなか りんたろう</t>
  </si>
  <si>
    <t>駒木 稜也</t>
  </si>
  <si>
    <t>こまきりょうや</t>
  </si>
  <si>
    <t>福森 遼</t>
  </si>
  <si>
    <t>ふくもり　りょう</t>
  </si>
  <si>
    <t>川口 慎之助</t>
  </si>
  <si>
    <t>かわぐちしんのすけ</t>
  </si>
  <si>
    <t>藤山湧太</t>
  </si>
  <si>
    <t>ふじやまゆうた</t>
  </si>
  <si>
    <t>青木昭樹</t>
  </si>
  <si>
    <t>あおきはるき</t>
  </si>
  <si>
    <t>伊藤康介</t>
  </si>
  <si>
    <t>いとうこうすけ</t>
  </si>
  <si>
    <t>西藤和貴</t>
  </si>
  <si>
    <t>さいとうかずき</t>
  </si>
  <si>
    <t>連尾　洸成</t>
  </si>
  <si>
    <t>つれお　こうせい</t>
  </si>
  <si>
    <t>秋元湧希</t>
  </si>
  <si>
    <t>あきもとゆうき</t>
  </si>
  <si>
    <t>時任 俊輔</t>
  </si>
  <si>
    <t>ときとう しゅんすけ</t>
  </si>
  <si>
    <t>阿部 稜大</t>
  </si>
  <si>
    <t>あべ りょうた</t>
  </si>
  <si>
    <t>永井 律</t>
  </si>
  <si>
    <t>ながい りつ</t>
  </si>
  <si>
    <t>佐橋 大地</t>
  </si>
  <si>
    <t>さはし だいち</t>
  </si>
  <si>
    <t>中川 元気</t>
  </si>
  <si>
    <t>なかがわ げんき</t>
  </si>
  <si>
    <t>小杉 亮太</t>
  </si>
  <si>
    <t>こすぎ りょうた</t>
  </si>
  <si>
    <t>若林 拓</t>
  </si>
  <si>
    <t>わかばやし たく</t>
  </si>
  <si>
    <t>山崎 蓮馬</t>
  </si>
  <si>
    <t>やまざき れんま</t>
  </si>
  <si>
    <t>大越 温斗</t>
  </si>
  <si>
    <t>おおこし はると</t>
  </si>
  <si>
    <t>飯野 正太郎</t>
  </si>
  <si>
    <t>いいの しょうたろう</t>
  </si>
  <si>
    <t>津田 泰裕</t>
  </si>
  <si>
    <t>つだ やすひろ</t>
  </si>
  <si>
    <t>酒井 大地</t>
  </si>
  <si>
    <t>さかい だいち</t>
  </si>
  <si>
    <t>飯田 真琴</t>
  </si>
  <si>
    <t>いいだ まこと</t>
  </si>
  <si>
    <t>古寺 功明</t>
  </si>
  <si>
    <t>こでら こうめい</t>
  </si>
  <si>
    <t>松島 康祐</t>
  </si>
  <si>
    <t>まつしま こうすけ</t>
  </si>
  <si>
    <t>米山 慧</t>
  </si>
  <si>
    <t>よねやま	さとし</t>
  </si>
  <si>
    <t>江尻	航汰</t>
  </si>
  <si>
    <t>えじり こうた</t>
  </si>
  <si>
    <t>近藤	慶音</t>
  </si>
  <si>
    <t>こんどう	けいん</t>
  </si>
  <si>
    <t>青木 颯汰</t>
  </si>
  <si>
    <t>あおき そうた</t>
  </si>
  <si>
    <t>鶴岡涼</t>
  </si>
  <si>
    <t>つるおかりょう</t>
  </si>
  <si>
    <t>日本女子大学</t>
  </si>
  <si>
    <t>鈴木　万結</t>
  </si>
  <si>
    <t>すずき　まゆ</t>
  </si>
  <si>
    <t>鳥谷　日緒理</t>
  </si>
  <si>
    <t>とや　ひおり</t>
  </si>
  <si>
    <t>鈴木　菜那</t>
  </si>
  <si>
    <t>すずき　なな</t>
  </si>
  <si>
    <t>篠田　恭子</t>
  </si>
  <si>
    <t>しのだ　きょうこ</t>
  </si>
  <si>
    <t>井上　桃寧</t>
  </si>
  <si>
    <t>いのうえ　ももね</t>
  </si>
  <si>
    <t>岸　えみり</t>
  </si>
  <si>
    <t>きし　えみり</t>
  </si>
  <si>
    <t>井上　愛子</t>
  </si>
  <si>
    <t>いのうえ　あいこ</t>
  </si>
  <si>
    <t>鶴見　和樺</t>
  </si>
  <si>
    <t>つるみ　わかば</t>
  </si>
  <si>
    <t>岡　蒼唯</t>
  </si>
  <si>
    <t>おか　あおい</t>
  </si>
  <si>
    <t>別所　美寛</t>
  </si>
  <si>
    <t>べっしょ　みひろ</t>
  </si>
  <si>
    <t>大森　美穂</t>
  </si>
  <si>
    <t>おおもり　みほ</t>
  </si>
  <si>
    <t>八木　杏</t>
  </si>
  <si>
    <t>やぎ　あんず</t>
  </si>
  <si>
    <t>大森　麻央</t>
  </si>
  <si>
    <t>おおもり　まお</t>
  </si>
  <si>
    <t>高井　美希</t>
  </si>
  <si>
    <t>たかい　みき</t>
  </si>
  <si>
    <t>大久保咲紀</t>
  </si>
  <si>
    <t>おおくぼさき</t>
  </si>
  <si>
    <t>園木ひとみ</t>
  </si>
  <si>
    <t>そのきひとみ</t>
  </si>
  <si>
    <t>長沼遥香</t>
  </si>
  <si>
    <t>ながぬまはるか</t>
  </si>
  <si>
    <t>深澤希</t>
  </si>
  <si>
    <t>ふかさわのぞみ</t>
  </si>
  <si>
    <t>津端詩織</t>
  </si>
  <si>
    <t>つばたしおり</t>
  </si>
  <si>
    <t>兼松海琴</t>
  </si>
  <si>
    <t>かねまつみこと</t>
  </si>
  <si>
    <t>堀口優奈</t>
  </si>
  <si>
    <t>ほりぐちゆうな</t>
  </si>
  <si>
    <t>福島瑞花</t>
  </si>
  <si>
    <t>ふくしまみずか</t>
  </si>
  <si>
    <t>安田佳奈</t>
  </si>
  <si>
    <t>やすだかな</t>
  </si>
  <si>
    <t>原田瑞歩</t>
  </si>
  <si>
    <t>はらだみずほ</t>
  </si>
  <si>
    <t>西川真由</t>
  </si>
  <si>
    <t>にしかわまゆ</t>
  </si>
  <si>
    <t>日本大学</t>
  </si>
  <si>
    <t>大石涼太</t>
  </si>
  <si>
    <t>おおいしりょうた</t>
  </si>
  <si>
    <t>安齋嘉希</t>
  </si>
  <si>
    <t>あんざいひろき</t>
  </si>
  <si>
    <t>牧戸悠生</t>
  </si>
  <si>
    <t>まきどゆうき</t>
  </si>
  <si>
    <t>安原佳祐</t>
  </si>
  <si>
    <t>やすはらけいすけ</t>
  </si>
  <si>
    <t>原田康太郎</t>
  </si>
  <si>
    <t>はらだこうたろう</t>
  </si>
  <si>
    <t>長野俊青</t>
  </si>
  <si>
    <t>ながのしゅんせい</t>
  </si>
  <si>
    <t>櫻井亮輔</t>
  </si>
  <si>
    <t>さくらいりょうすけ</t>
  </si>
  <si>
    <t>津田塾大学</t>
  </si>
  <si>
    <t>有本 寧羽</t>
  </si>
  <si>
    <t>ありもと やすは</t>
  </si>
  <si>
    <t>内木　睦</t>
  </si>
  <si>
    <t>ないき　むつみ</t>
  </si>
  <si>
    <t>平田　千畝</t>
  </si>
  <si>
    <t>ひらた ちうね</t>
  </si>
  <si>
    <t>細野　泉</t>
  </si>
  <si>
    <t>ほその　いずみ</t>
  </si>
  <si>
    <t>茨城大学</t>
  </si>
  <si>
    <t>若林美和</t>
  </si>
  <si>
    <t>わかばやしみわ</t>
  </si>
  <si>
    <t>野賀建斗</t>
  </si>
  <si>
    <t>のがけんと</t>
  </si>
  <si>
    <t>村田真之介</t>
  </si>
  <si>
    <t>むらたしんのすけ</t>
  </si>
  <si>
    <t>高林和輝</t>
  </si>
  <si>
    <t>たかばやしかずき</t>
  </si>
  <si>
    <t>湊菜々子</t>
  </si>
  <si>
    <t>みなとななこ</t>
  </si>
  <si>
    <t>松尾晴菜</t>
  </si>
  <si>
    <t>まつおはるな</t>
  </si>
  <si>
    <t>川上健尚</t>
  </si>
  <si>
    <t>かわかみけんしょう</t>
  </si>
  <si>
    <t>小林幹太</t>
  </si>
  <si>
    <t>こばやしかんた</t>
  </si>
  <si>
    <t>古川智大</t>
  </si>
  <si>
    <t>ふるかわともひろ</t>
  </si>
  <si>
    <t>星野夏也</t>
  </si>
  <si>
    <t>ほしのなつや</t>
  </si>
  <si>
    <t>石原怜奈</t>
  </si>
  <si>
    <t>いしはられな</t>
  </si>
  <si>
    <t>辻村太成</t>
  </si>
  <si>
    <t>つじむらたいせい</t>
  </si>
  <si>
    <t>武士朔也</t>
  </si>
  <si>
    <t>たけしさくや</t>
  </si>
  <si>
    <t>上野臺　優太</t>
  </si>
  <si>
    <t>うえのだいゆうた</t>
  </si>
  <si>
    <t>高橋民奈</t>
  </si>
  <si>
    <t>たかはしみな</t>
  </si>
  <si>
    <t>川俣祐人</t>
  </si>
  <si>
    <t>かわまたゆうと</t>
  </si>
  <si>
    <t>松山空聖</t>
  </si>
  <si>
    <t>まつやまてんせい</t>
  </si>
  <si>
    <t>山口晃生</t>
  </si>
  <si>
    <t>やまぐちこうき</t>
  </si>
  <si>
    <t>上沢空良</t>
  </si>
  <si>
    <t>かみさわそら</t>
  </si>
  <si>
    <t>大森晴輝</t>
  </si>
  <si>
    <t>おおもりはるき</t>
  </si>
  <si>
    <t>大河原穣</t>
  </si>
  <si>
    <t>おおかわらみのる</t>
  </si>
  <si>
    <t>横山廉</t>
  </si>
  <si>
    <t>よこやまれん</t>
  </si>
  <si>
    <t>松岡由真</t>
  </si>
  <si>
    <t>まつおかゆま</t>
  </si>
  <si>
    <t>和田早織</t>
  </si>
  <si>
    <t>わださおり</t>
  </si>
  <si>
    <t>小沼義政</t>
  </si>
  <si>
    <t>おぬまよしまさ</t>
  </si>
  <si>
    <t>三宅寛太</t>
  </si>
  <si>
    <t>みやけかんた</t>
  </si>
  <si>
    <t>須田陸</t>
  </si>
  <si>
    <t>すだりく</t>
  </si>
  <si>
    <t>川崎陽暉</t>
  </si>
  <si>
    <t>かわさきはるき</t>
  </si>
  <si>
    <t>小野寺創冴</t>
  </si>
  <si>
    <t>おのでらそうご</t>
  </si>
  <si>
    <t>田宮響</t>
  </si>
  <si>
    <t>たみやひびき</t>
  </si>
  <si>
    <t>深田 遥斗</t>
  </si>
  <si>
    <t>ふかだ はると</t>
  </si>
  <si>
    <t>筑波大学大学院</t>
  </si>
  <si>
    <t>山根直樹</t>
  </si>
  <si>
    <t>やまねなおき</t>
  </si>
  <si>
    <t>横浜市立大学</t>
  </si>
  <si>
    <t>澁谷萌</t>
  </si>
  <si>
    <t>しぶやもえ</t>
  </si>
  <si>
    <t>鈴木航大</t>
  </si>
  <si>
    <t>すずきこうた</t>
  </si>
  <si>
    <t>高橋悠</t>
  </si>
  <si>
    <t>たかはしゆう</t>
  </si>
  <si>
    <t>須磨香介</t>
  </si>
  <si>
    <t>すまきょうすけ</t>
  </si>
  <si>
    <t>菊池彩実</t>
  </si>
  <si>
    <t>きくちあみ</t>
  </si>
  <si>
    <t>伊与久桃花</t>
  </si>
  <si>
    <t>いよくももか</t>
  </si>
  <si>
    <t>平井良輝</t>
  </si>
  <si>
    <t>ひらいよしき</t>
  </si>
  <si>
    <t>本田創也</t>
  </si>
  <si>
    <t>ほんだそうや</t>
  </si>
  <si>
    <t>古荘雪羽</t>
  </si>
  <si>
    <t>ふるしょうゆきは</t>
  </si>
  <si>
    <t>菅田雄大</t>
  </si>
  <si>
    <t>すがたゆうだい</t>
  </si>
  <si>
    <t>山下平良</t>
  </si>
  <si>
    <t>やましたたいら</t>
  </si>
  <si>
    <t>西野陽平</t>
  </si>
  <si>
    <t>にしのようへい</t>
  </si>
  <si>
    <t>小泉陽菜乃</t>
  </si>
  <si>
    <t>こいずみひなの</t>
  </si>
  <si>
    <t>石橋麗亜</t>
  </si>
  <si>
    <t>いしばしれいあ</t>
  </si>
  <si>
    <t>池田寛大</t>
  </si>
  <si>
    <t>いけだかんた</t>
  </si>
  <si>
    <t>美濃部駿</t>
  </si>
  <si>
    <t>みのべしゅん</t>
  </si>
  <si>
    <t>相葉莉?</t>
  </si>
  <si>
    <t>あいばりこ</t>
  </si>
  <si>
    <t>力丸航</t>
  </si>
  <si>
    <t>りきまる　わたる</t>
  </si>
  <si>
    <t>安部紗也佳</t>
  </si>
  <si>
    <t>あべさやか</t>
  </si>
  <si>
    <t>宮澤海帆</t>
  </si>
  <si>
    <t>みやざわみほ</t>
  </si>
  <si>
    <t>東京工科大学</t>
  </si>
  <si>
    <t>園部仁士</t>
  </si>
  <si>
    <t>そのべひろひと</t>
  </si>
  <si>
    <t>国際基督教大学</t>
  </si>
  <si>
    <t>福田有紗</t>
  </si>
  <si>
    <t>ふくだありさ</t>
  </si>
  <si>
    <t>十文字女子大学</t>
  </si>
  <si>
    <t>一条　理央</t>
  </si>
  <si>
    <t>いちじょう　りお</t>
  </si>
  <si>
    <t>齋藤遥</t>
  </si>
  <si>
    <t>さいとうはるか</t>
  </si>
  <si>
    <t>木村 雪乃</t>
  </si>
  <si>
    <t>きむら ゆきの</t>
  </si>
  <si>
    <t>明治大学</t>
  </si>
  <si>
    <t>奥村尚史</t>
  </si>
  <si>
    <t>おくむら なおふみ</t>
  </si>
  <si>
    <t>溝端昭子</t>
  </si>
  <si>
    <t>みぞばた　あきこ</t>
  </si>
  <si>
    <t>小林聖矢</t>
  </si>
  <si>
    <t>こばやし　せいや</t>
  </si>
  <si>
    <t>新井悠仁</t>
  </si>
  <si>
    <t>あらい　ゆうと</t>
  </si>
  <si>
    <t>静岡大学</t>
  </si>
  <si>
    <t>有本健吾</t>
  </si>
  <si>
    <t>ありもとけんご</t>
  </si>
  <si>
    <t>鈴木瑛斗</t>
  </si>
  <si>
    <t>すずきえいと</t>
  </si>
  <si>
    <t>山口士裕</t>
  </si>
  <si>
    <t>やまぐちしゅう</t>
  </si>
  <si>
    <t>市川雄大</t>
  </si>
  <si>
    <t>いちかわゆうだい</t>
  </si>
  <si>
    <t>西ヶ谷直樹</t>
  </si>
  <si>
    <t>にしがやなおき</t>
  </si>
  <si>
    <t>荒井湊人</t>
  </si>
  <si>
    <t>あらいみなと</t>
  </si>
  <si>
    <t>田沼凜</t>
  </si>
  <si>
    <t>たぬまりん</t>
  </si>
  <si>
    <t>川出晃大</t>
  </si>
  <si>
    <t>かわであきひろ</t>
  </si>
  <si>
    <t>対馬立也</t>
  </si>
  <si>
    <t>つしまたつや</t>
  </si>
  <si>
    <t>井上太陽</t>
  </si>
  <si>
    <t>いのうえたいよう</t>
  </si>
  <si>
    <t>水谷悠人</t>
  </si>
  <si>
    <t>みずたにゆうと</t>
  </si>
  <si>
    <t>飯島浩平</t>
  </si>
  <si>
    <t>いいじまこうへい</t>
  </si>
  <si>
    <t>鈴木悠馬</t>
  </si>
  <si>
    <t>すずきゆうま</t>
  </si>
  <si>
    <t>浅井蓮</t>
  </si>
  <si>
    <t>あさいれん</t>
  </si>
  <si>
    <t>池ヶ谷雄太</t>
  </si>
  <si>
    <t>いけがやゆうた</t>
  </si>
  <si>
    <t>名古屋大学</t>
  </si>
  <si>
    <t>前川智彦</t>
  </si>
  <si>
    <t>まえかわともひこ</t>
  </si>
  <si>
    <t>水野伶哉</t>
  </si>
  <si>
    <t>みずのりょうや</t>
  </si>
  <si>
    <t>寺本裕哉</t>
  </si>
  <si>
    <t>てらもとゆうや</t>
  </si>
  <si>
    <t>岩淵陽平</t>
  </si>
  <si>
    <t>いわぶちようへい</t>
  </si>
  <si>
    <t>笠木雄介</t>
  </si>
  <si>
    <t>かさぎゆうすけ</t>
  </si>
  <si>
    <t>高野翔</t>
  </si>
  <si>
    <t>たかのかける</t>
  </si>
  <si>
    <t>山田拓歩</t>
  </si>
  <si>
    <t>やまだたくほ</t>
  </si>
  <si>
    <t>山口俊輔</t>
  </si>
  <si>
    <t>やまぐちしゅんすけ</t>
  </si>
  <si>
    <t>大野尊琉</t>
  </si>
  <si>
    <t>おおのたける</t>
  </si>
  <si>
    <t>宇野和輝</t>
  </si>
  <si>
    <t>うのかずき</t>
  </si>
  <si>
    <t>岩瀬城也</t>
  </si>
  <si>
    <t>いわせじょうや</t>
  </si>
  <si>
    <t>都築心</t>
  </si>
  <si>
    <t>つづきしん</t>
  </si>
  <si>
    <t>小出茉拓</t>
  </si>
  <si>
    <t>こいでまひろ</t>
  </si>
  <si>
    <t>後藤健太</t>
  </si>
  <si>
    <t>ごとうけんた</t>
  </si>
  <si>
    <t>前川彰吾</t>
  </si>
  <si>
    <t>まえかわしょうご</t>
  </si>
  <si>
    <t>酒井太智</t>
  </si>
  <si>
    <t>さかいたいち</t>
  </si>
  <si>
    <t>柴田日向</t>
  </si>
  <si>
    <t>しばたひゅうが</t>
  </si>
  <si>
    <t>日比野兼伸</t>
  </si>
  <si>
    <t>ひびのけんしん</t>
  </si>
  <si>
    <t>仲野太陽</t>
  </si>
  <si>
    <t>なかのたいよう</t>
  </si>
  <si>
    <t>鈴木寛人</t>
  </si>
  <si>
    <t>すずきひろと</t>
  </si>
  <si>
    <t>竹村宥吾</t>
  </si>
  <si>
    <t>たけむらゆうご</t>
  </si>
  <si>
    <t>杉本成央</t>
  </si>
  <si>
    <t>すぎもとなお</t>
  </si>
  <si>
    <t>竹内 恒太</t>
  </si>
  <si>
    <t>たけうちこうた</t>
  </si>
  <si>
    <t>浦野友直</t>
  </si>
  <si>
    <t>うらのともなお</t>
  </si>
  <si>
    <t>郷颯真</t>
  </si>
  <si>
    <t>ごうそうま</t>
  </si>
  <si>
    <t>太田昂希</t>
  </si>
  <si>
    <t>おおたこうき</t>
  </si>
  <si>
    <t>横田力也</t>
  </si>
  <si>
    <t>よこたりきや</t>
  </si>
  <si>
    <t>中野友貴</t>
  </si>
  <si>
    <t>なかのゆき</t>
  </si>
  <si>
    <t>鈴木崚太</t>
  </si>
  <si>
    <t>すずきりょうた</t>
  </si>
  <si>
    <t>磯貝孝介</t>
  </si>
  <si>
    <t>いそがいこうすけ</t>
  </si>
  <si>
    <t>杉浦英輝</t>
  </si>
  <si>
    <t>すぎうらひでき</t>
  </si>
  <si>
    <t>高辻乃輔</t>
  </si>
  <si>
    <t>たかつじたいすけ</t>
  </si>
  <si>
    <t>伊藤凛太朗</t>
  </si>
  <si>
    <t>いとうりんたろう</t>
  </si>
  <si>
    <t>御子裕治</t>
  </si>
  <si>
    <t>みこゆうじ</t>
  </si>
  <si>
    <t>荒川恭誠</t>
  </si>
  <si>
    <t>あらかわやすなり</t>
  </si>
  <si>
    <t>小野旭陽</t>
  </si>
  <si>
    <t>おのあさひ</t>
  </si>
  <si>
    <t>神野湧樹</t>
  </si>
  <si>
    <t>じんのゆうき</t>
  </si>
  <si>
    <t>窪田英雄</t>
  </si>
  <si>
    <t>くぼたひでお</t>
  </si>
  <si>
    <t>高木慎之介</t>
  </si>
  <si>
    <t>たかぎしんのすけ</t>
  </si>
  <si>
    <t>島田智也</t>
  </si>
  <si>
    <t>しまだともや</t>
  </si>
  <si>
    <t>竹川貴教</t>
  </si>
  <si>
    <t>たけかわたかのり</t>
  </si>
  <si>
    <t>酒井幸太</t>
  </si>
  <si>
    <t>さかいこうた</t>
  </si>
  <si>
    <t>井手龍之介</t>
  </si>
  <si>
    <t>いでりゅうのすけ</t>
  </si>
  <si>
    <t>清水侃太</t>
  </si>
  <si>
    <t>しみずかんた</t>
  </si>
  <si>
    <t>原野萌々</t>
  </si>
  <si>
    <t>はらのもも</t>
  </si>
  <si>
    <t>勝野智喜</t>
  </si>
  <si>
    <t>かつのともき</t>
  </si>
  <si>
    <t>三田村和樹</t>
  </si>
  <si>
    <t>みたむらかずき</t>
  </si>
  <si>
    <t>大塚康平</t>
  </si>
  <si>
    <t>おおつかこうへい</t>
  </si>
  <si>
    <t>板谷拓紀</t>
  </si>
  <si>
    <t>いたやひろき</t>
  </si>
  <si>
    <t>舘直輝</t>
  </si>
  <si>
    <t>たちなおき</t>
  </si>
  <si>
    <t>市川礼人</t>
  </si>
  <si>
    <t>いちかわらいと</t>
  </si>
  <si>
    <t>鈴木応輔</t>
  </si>
  <si>
    <t>すずきおうすけ</t>
  </si>
  <si>
    <t>横井晃太</t>
  </si>
  <si>
    <t>よこいこうた</t>
  </si>
  <si>
    <t>山本ひより</t>
  </si>
  <si>
    <t>やまもとひより</t>
  </si>
  <si>
    <t>石川翔大</t>
  </si>
  <si>
    <t>いしかわしょうた</t>
  </si>
  <si>
    <t>山崎秀人</t>
  </si>
  <si>
    <t>やまさきしゅうと</t>
  </si>
  <si>
    <t>山本和毅</t>
  </si>
  <si>
    <t>やまもとかずき</t>
  </si>
  <si>
    <t>吉丸穣</t>
  </si>
  <si>
    <t>よしまるじょう</t>
  </si>
  <si>
    <t>愛知県立大学</t>
  </si>
  <si>
    <t>庄司ひな</t>
  </si>
  <si>
    <t>しょうじひな</t>
  </si>
  <si>
    <t>椙山女学園大学</t>
  </si>
  <si>
    <t>杉浦　怜奈</t>
  </si>
  <si>
    <t>すぎうら　れいな</t>
  </si>
  <si>
    <t>福井　未空</t>
  </si>
  <si>
    <t>ふくい　みく</t>
  </si>
  <si>
    <t>高木　もね</t>
  </si>
  <si>
    <t>たかぎ　もね</t>
  </si>
  <si>
    <t>栗山　千奈</t>
  </si>
  <si>
    <t>くりやま　ちな</t>
  </si>
  <si>
    <t>本田 紬</t>
  </si>
  <si>
    <t>ほんだ つむぎ</t>
  </si>
  <si>
    <t>澤村 春奈</t>
  </si>
  <si>
    <t>さわむら はるな</t>
  </si>
  <si>
    <t>高田 麻由</t>
  </si>
  <si>
    <t>たかだ まゆ</t>
  </si>
  <si>
    <t>櫻井 香帆</t>
  </si>
  <si>
    <t>さくらい かほ</t>
  </si>
  <si>
    <t>野崎琴乃</t>
  </si>
  <si>
    <t>のざきことの</t>
  </si>
  <si>
    <t>牧花音</t>
  </si>
  <si>
    <t>まきかのん</t>
  </si>
  <si>
    <t>西山由里那</t>
  </si>
  <si>
    <t>にしやまゆりな</t>
  </si>
  <si>
    <t>小野希美</t>
  </si>
  <si>
    <t>おののぞみ</t>
  </si>
  <si>
    <t>吉田栞里</t>
  </si>
  <si>
    <t>よしだしおり</t>
  </si>
  <si>
    <t>岡本佑希</t>
  </si>
  <si>
    <t>おかもとゆうき</t>
  </si>
  <si>
    <t>秋澤 実乃里</t>
  </si>
  <si>
    <t>あきざわ みのり</t>
  </si>
  <si>
    <t>大阪大学</t>
  </si>
  <si>
    <t>南颯太郎</t>
  </si>
  <si>
    <t>みなみそうたろう</t>
  </si>
  <si>
    <t>政井秀仁</t>
  </si>
  <si>
    <t>まさいひでと</t>
  </si>
  <si>
    <t>角田兼志郎</t>
  </si>
  <si>
    <t>かくたけんしろう</t>
  </si>
  <si>
    <t>太田来和</t>
  </si>
  <si>
    <t>おおたきわ</t>
  </si>
  <si>
    <t>佐々木伶奈</t>
  </si>
  <si>
    <t>ささきれな</t>
  </si>
  <si>
    <t>倉科瑠奈</t>
  </si>
  <si>
    <t>くらしなるな</t>
  </si>
  <si>
    <t>神坂夏実</t>
  </si>
  <si>
    <t>かみさかなつみ</t>
  </si>
  <si>
    <t>奥村友香</t>
  </si>
  <si>
    <t>おくむらゆうか</t>
  </si>
  <si>
    <t>森遼馬</t>
  </si>
  <si>
    <t>もりりょうま</t>
  </si>
  <si>
    <t>大山美菜子</t>
  </si>
  <si>
    <t>おおやまみなこ</t>
  </si>
  <si>
    <t>吉川浩太</t>
  </si>
  <si>
    <t>きっかわこうた</t>
  </si>
  <si>
    <t>市來佐和子</t>
  </si>
  <si>
    <t>いちきさわこ</t>
  </si>
  <si>
    <t>金井勇輝</t>
  </si>
  <si>
    <t>かないゆうき</t>
  </si>
  <si>
    <t>石塚陽広</t>
  </si>
  <si>
    <t>いしづかあきひろ</t>
  </si>
  <si>
    <t>神田潤一</t>
  </si>
  <si>
    <t>かんだじゅんいち</t>
  </si>
  <si>
    <t>岩崎壮馬</t>
  </si>
  <si>
    <t>いわさきそうま</t>
  </si>
  <si>
    <t>澤木彩</t>
  </si>
  <si>
    <t>さわきあや</t>
  </si>
  <si>
    <t>佐藤 頌子</t>
  </si>
  <si>
    <t>さとう しょうこ</t>
  </si>
  <si>
    <t>丸田祐大</t>
  </si>
  <si>
    <t>まるたゆうだい</t>
  </si>
  <si>
    <t>波多野直人</t>
  </si>
  <si>
    <t>はたのなおと</t>
  </si>
  <si>
    <t>吉岡奨悟</t>
  </si>
  <si>
    <t>よしおかしょうご</t>
  </si>
  <si>
    <t>山本敬太</t>
  </si>
  <si>
    <t>やまもとけいた</t>
  </si>
  <si>
    <t>高橋祐太</t>
  </si>
  <si>
    <t>たかはしゆうた</t>
  </si>
  <si>
    <t>草野伊武紀</t>
  </si>
  <si>
    <t>くさのいぶき</t>
  </si>
  <si>
    <t>門瑞起</t>
  </si>
  <si>
    <t>かどみずき</t>
  </si>
  <si>
    <t>鈴江晃人</t>
  </si>
  <si>
    <t>すずえあきと</t>
  </si>
  <si>
    <t>満田 壮晴</t>
  </si>
  <si>
    <t>みつだ たけはる</t>
  </si>
  <si>
    <t>高野 澄佳</t>
  </si>
  <si>
    <t>たかの すみか</t>
  </si>
  <si>
    <t>林 里美</t>
  </si>
  <si>
    <t>はやし さとみ</t>
  </si>
  <si>
    <t>菅 悠柾</t>
  </si>
  <si>
    <t>かん ゆきまさ</t>
  </si>
  <si>
    <t>高橋茉莉奈</t>
  </si>
  <si>
    <t>たかはしまりな</t>
  </si>
  <si>
    <t>京都大学</t>
  </si>
  <si>
    <t>石川拓真</t>
  </si>
  <si>
    <t>いしかわたくま</t>
  </si>
  <si>
    <t>川崎健太郎</t>
  </si>
  <si>
    <t>かわさきけんたろう</t>
  </si>
  <si>
    <t>瓜生煌</t>
  </si>
  <si>
    <t>うりゅうきら</t>
  </si>
  <si>
    <t>西山晋平</t>
  </si>
  <si>
    <t>にしやましんぺい</t>
  </si>
  <si>
    <t>滝柳祥吾</t>
  </si>
  <si>
    <t>たきやなぎしょうご</t>
  </si>
  <si>
    <t>柳澤篤</t>
  </si>
  <si>
    <t>やなぎさわあつし</t>
  </si>
  <si>
    <t>武久春馬</t>
  </si>
  <si>
    <t>たけひさはるま</t>
  </si>
  <si>
    <t>浅井晴揮</t>
  </si>
  <si>
    <t>あさいはるき</t>
  </si>
  <si>
    <t>黒澤香穂</t>
  </si>
  <si>
    <t>くろさわかほ</t>
  </si>
  <si>
    <t>中村圭吾</t>
  </si>
  <si>
    <t>なかむらけいご</t>
  </si>
  <si>
    <t>吉岡拓透</t>
  </si>
  <si>
    <t>よしおかたくと</t>
  </si>
  <si>
    <t>井上はるき</t>
  </si>
  <si>
    <t>いのうえはるき</t>
  </si>
  <si>
    <t>脇田七澄</t>
  </si>
  <si>
    <t>わきたななと</t>
  </si>
  <si>
    <t>白坂怜也</t>
  </si>
  <si>
    <t>しらさかれいや</t>
  </si>
  <si>
    <t>田京空</t>
  </si>
  <si>
    <t>たきょうそら</t>
  </si>
  <si>
    <t>Trompeta Seth Marchen</t>
  </si>
  <si>
    <t>トロンペタ　セス　マーチェン</t>
  </si>
  <si>
    <t>橘一希</t>
  </si>
  <si>
    <t>たちばないっき</t>
  </si>
  <si>
    <t>牧原陽一</t>
  </si>
  <si>
    <t>まきはらよういち</t>
  </si>
  <si>
    <t>田中周良</t>
  </si>
  <si>
    <t>たなかちから</t>
  </si>
  <si>
    <t>杉田瑠菜</t>
  </si>
  <si>
    <t>すぎたるな</t>
  </si>
  <si>
    <t>長原杏奈</t>
  </si>
  <si>
    <t>ながはらあんな</t>
  </si>
  <si>
    <t>鬼頭学史</t>
  </si>
  <si>
    <t>きとうがくし</t>
  </si>
  <si>
    <t>重田弥音</t>
  </si>
  <si>
    <t>しげたあまね</t>
  </si>
  <si>
    <t>柿本源心</t>
  </si>
  <si>
    <t>かきもとげんしん</t>
  </si>
  <si>
    <t>八木彩名</t>
  </si>
  <si>
    <t>やぎあやな</t>
  </si>
  <si>
    <t>堀江花歩</t>
  </si>
  <si>
    <t>ほりえかほ</t>
  </si>
  <si>
    <t>諸永終也</t>
  </si>
  <si>
    <t>もろながしゅうや</t>
  </si>
  <si>
    <t>藤井崇弘</t>
  </si>
  <si>
    <t>ふじいたかひろ</t>
  </si>
  <si>
    <t>香山千空</t>
  </si>
  <si>
    <t>かやまちあき</t>
  </si>
  <si>
    <t>佐藤駿</t>
  </si>
  <si>
    <t>さとうしゅん</t>
  </si>
  <si>
    <t>竹重雄翔</t>
  </si>
  <si>
    <t>たけしげゆうと</t>
  </si>
  <si>
    <t>竹林寛生</t>
  </si>
  <si>
    <t>たけばやしひろき</t>
  </si>
  <si>
    <t>町田禎悟</t>
  </si>
  <si>
    <t>まちだていご</t>
  </si>
  <si>
    <t>石岡悠吾</t>
  </si>
  <si>
    <t>いしおかゆうご</t>
  </si>
  <si>
    <t>矢野颯汰</t>
  </si>
  <si>
    <t>やのそうた</t>
  </si>
  <si>
    <t>本村祐貴</t>
  </si>
  <si>
    <t>もとむらゆうき</t>
  </si>
  <si>
    <t>藤島成邦</t>
  </si>
  <si>
    <t>ふじしましげくに</t>
  </si>
  <si>
    <t>相良侑弥</t>
  </si>
  <si>
    <t>さがらゆうや</t>
  </si>
  <si>
    <t>中西彩寧</t>
  </si>
  <si>
    <t>なかにしあやね</t>
  </si>
  <si>
    <t>小林和輝</t>
  </si>
  <si>
    <t>こばやしかずき</t>
  </si>
  <si>
    <t>森下結友</t>
  </si>
  <si>
    <t>もりしたゆいと</t>
  </si>
  <si>
    <t>大田瑠祥</t>
  </si>
  <si>
    <t>おおたりゅうしょう</t>
  </si>
  <si>
    <t>北川晟慈</t>
  </si>
  <si>
    <t>きたがわせいじ</t>
  </si>
  <si>
    <t>清野倫太郎</t>
  </si>
  <si>
    <t>きよのりんたろう</t>
  </si>
  <si>
    <t>浅田宏</t>
  </si>
  <si>
    <t>あさだひろし</t>
  </si>
  <si>
    <t>落合英那</t>
  </si>
  <si>
    <t>おちあいはな</t>
  </si>
  <si>
    <t>江口俊太朗</t>
  </si>
  <si>
    <t>えぐちしゅんたろう</t>
  </si>
  <si>
    <t>清住尚平</t>
  </si>
  <si>
    <t>きよずみしょうへい</t>
  </si>
  <si>
    <t>佐合慶哉</t>
  </si>
  <si>
    <t>さごうけいや</t>
  </si>
  <si>
    <t>杉中海斗</t>
  </si>
  <si>
    <t>すぎなかかいと</t>
  </si>
  <si>
    <t>竹山悠斗</t>
  </si>
  <si>
    <t>たけやまはると</t>
  </si>
  <si>
    <t>中島新</t>
  </si>
  <si>
    <t>なかじまあらた</t>
  </si>
  <si>
    <t>沼田奈津</t>
  </si>
  <si>
    <t>ぬまたなつ</t>
  </si>
  <si>
    <t>野田晃司</t>
  </si>
  <si>
    <t>のだこうじ</t>
  </si>
  <si>
    <t>森田　歩暉</t>
  </si>
  <si>
    <t>もりたいぶき</t>
  </si>
  <si>
    <t>屋敷龍吾</t>
  </si>
  <si>
    <t>やしきりゅうご</t>
  </si>
  <si>
    <t>山下祥平</t>
  </si>
  <si>
    <t>やましたしょうへい</t>
  </si>
  <si>
    <t>渡邉朋香</t>
  </si>
  <si>
    <t>わたなべともか</t>
  </si>
  <si>
    <t>中嶋智桃</t>
  </si>
  <si>
    <t>なかじまちもも</t>
  </si>
  <si>
    <t>浜口祐至</t>
  </si>
  <si>
    <t>はまぐちゆうじ</t>
  </si>
  <si>
    <t>吉岡春樹</t>
  </si>
  <si>
    <t>よしおかはるき</t>
  </si>
  <si>
    <t>高尾笙甫</t>
  </si>
  <si>
    <t>たかおしょうほ</t>
  </si>
  <si>
    <t>羽岡美紀</t>
  </si>
  <si>
    <t>はおかみき</t>
  </si>
  <si>
    <t>角田和貴</t>
  </si>
  <si>
    <t>つのだかずき</t>
  </si>
  <si>
    <t>植田博貴</t>
  </si>
  <si>
    <t>うえだひろき</t>
  </si>
  <si>
    <t>日高綾音</t>
  </si>
  <si>
    <t>ひたかあやね</t>
  </si>
  <si>
    <t>玉木林哉</t>
  </si>
  <si>
    <t>たまきりんや</t>
  </si>
  <si>
    <t>山本裕</t>
  </si>
  <si>
    <t>やまもとゆたか</t>
  </si>
  <si>
    <t>石原潮人</t>
  </si>
  <si>
    <t>いしはらしおと</t>
  </si>
  <si>
    <t>毛利智紀</t>
  </si>
  <si>
    <t>もうりともき</t>
  </si>
  <si>
    <t>田中優</t>
  </si>
  <si>
    <t>たなかゆう</t>
  </si>
  <si>
    <t>四宮裕一朗</t>
  </si>
  <si>
    <t>しのみやゆういちろう</t>
  </si>
  <si>
    <t>張宇威</t>
  </si>
  <si>
    <t>ちょううい</t>
  </si>
  <si>
    <t>大道樹</t>
  </si>
  <si>
    <t>おおみちいつき</t>
  </si>
  <si>
    <t>谷口直弥</t>
  </si>
  <si>
    <t>たにぐちなおや</t>
  </si>
  <si>
    <t>井岡亜優</t>
  </si>
  <si>
    <t>いおかあゆ</t>
  </si>
  <si>
    <t>淺野瑞妃</t>
  </si>
  <si>
    <t>あさのみずき</t>
  </si>
  <si>
    <t>林洸樹</t>
  </si>
  <si>
    <t>はやしこうき</t>
  </si>
  <si>
    <t>角本柚香</t>
  </si>
  <si>
    <t>かどもとゆか</t>
  </si>
  <si>
    <t>清水 捷生</t>
  </si>
  <si>
    <t>しみず はやお</t>
  </si>
  <si>
    <t>岩瀬 晴生</t>
  </si>
  <si>
    <t>いわせ はるき</t>
  </si>
  <si>
    <t>中村 昂陽</t>
  </si>
  <si>
    <t>なかむら こうよう</t>
  </si>
  <si>
    <t>神戸大学</t>
  </si>
  <si>
    <t>穐田大吾郎</t>
  </si>
  <si>
    <t>あきただいごろう</t>
  </si>
  <si>
    <t>田村拓人</t>
  </si>
  <si>
    <t>たむらたくと</t>
  </si>
  <si>
    <t>小林朋幹</t>
  </si>
  <si>
    <t>こばやしともき</t>
  </si>
  <si>
    <t>山岸沙映</t>
  </si>
  <si>
    <t>やまぎしさえ</t>
  </si>
  <si>
    <t>清沢翼</t>
  </si>
  <si>
    <t>きよさわつばさ</t>
  </si>
  <si>
    <t>横江明弘</t>
  </si>
  <si>
    <t>よこえあきひろ</t>
  </si>
  <si>
    <t>細川恒平</t>
  </si>
  <si>
    <t>ほそかわこうへい</t>
  </si>
  <si>
    <t>荒川諒一郎</t>
  </si>
  <si>
    <t>あらかわりょういちろう</t>
  </si>
  <si>
    <t>稲垣宗矩</t>
  </si>
  <si>
    <t>いながきむねのり</t>
  </si>
  <si>
    <t>笠原元和</t>
  </si>
  <si>
    <t>かさはらげんな</t>
  </si>
  <si>
    <t>高橋知裕</t>
  </si>
  <si>
    <t>たかはしともひろ</t>
  </si>
  <si>
    <t>久野航</t>
  </si>
  <si>
    <t>ひさのわたる</t>
  </si>
  <si>
    <t>遠藤萌々花</t>
  </si>
  <si>
    <t>えんどうももか</t>
  </si>
  <si>
    <t>永原壮規</t>
  </si>
  <si>
    <t>ながはらそうき</t>
  </si>
  <si>
    <t>周孝海</t>
  </si>
  <si>
    <t>しゅうこうみ</t>
  </si>
  <si>
    <t>早川 貴裕</t>
  </si>
  <si>
    <t>はやかわ たかひろ</t>
  </si>
  <si>
    <t>飯田 敬博</t>
  </si>
  <si>
    <t>いいだ たかひろ</t>
  </si>
  <si>
    <t>松尾晴乃</t>
  </si>
  <si>
    <t>まつおはるの</t>
  </si>
  <si>
    <t>藤澤 ゆい</t>
  </si>
  <si>
    <t>ふじさわ ゆい</t>
  </si>
  <si>
    <t>織田 暁斗</t>
  </si>
  <si>
    <t>おりた あきと</t>
  </si>
  <si>
    <t>中村 和弘</t>
  </si>
  <si>
    <t>なかむら かずひろ</t>
  </si>
  <si>
    <t>中盛雷也</t>
  </si>
  <si>
    <t>なかもりらいや</t>
  </si>
  <si>
    <t>飯田 健太</t>
  </si>
  <si>
    <t>いいだ けんた</t>
  </si>
  <si>
    <t>池田 馨</t>
  </si>
  <si>
    <t>いけだ かをる</t>
  </si>
  <si>
    <t>鯰江 岳</t>
  </si>
  <si>
    <t>なまずえ がく</t>
  </si>
  <si>
    <t>塩谷 光希</t>
  </si>
  <si>
    <t>しおたに こうき</t>
  </si>
  <si>
    <t>濱中 俊太朗</t>
  </si>
  <si>
    <t>はまなか しゅんたろう</t>
  </si>
  <si>
    <t>立命館大学</t>
  </si>
  <si>
    <t>加藤慎太郎</t>
  </si>
  <si>
    <t>かとうしんたろう</t>
  </si>
  <si>
    <t>柴田漱司</t>
  </si>
  <si>
    <t>しばたそうし</t>
  </si>
  <si>
    <t>KANG HANSEO</t>
  </si>
  <si>
    <t>かん　はんそ</t>
  </si>
  <si>
    <t>鈴木雄太郎</t>
  </si>
  <si>
    <t>すずきゆうたろう</t>
  </si>
  <si>
    <t>鳥井田恵璃</t>
  </si>
  <si>
    <t>とりいだけいり</t>
  </si>
  <si>
    <t>村上優人</t>
  </si>
  <si>
    <t>むらかみゆうと</t>
  </si>
  <si>
    <t>幸地祐弥</t>
  </si>
  <si>
    <t>こうちゆうや</t>
  </si>
  <si>
    <t>有松秀明</t>
  </si>
  <si>
    <t>ありまつひであき</t>
  </si>
  <si>
    <t>中嶋伸哉</t>
  </si>
  <si>
    <t>なかじましんや</t>
  </si>
  <si>
    <t>奥田想</t>
  </si>
  <si>
    <t>おくだそう</t>
  </si>
  <si>
    <t>小司凛音</t>
  </si>
  <si>
    <t>しょうじりんね</t>
  </si>
  <si>
    <t>山下展平</t>
  </si>
  <si>
    <t>やましたてんぺい</t>
  </si>
  <si>
    <t>緑川新大</t>
  </si>
  <si>
    <t>みどりかわあらた</t>
  </si>
  <si>
    <t>川上陽平</t>
  </si>
  <si>
    <t>かわかみようへい</t>
  </si>
  <si>
    <t>中島美結</t>
  </si>
  <si>
    <t>なかじまみゆ</t>
  </si>
  <si>
    <t>西沢雄登</t>
  </si>
  <si>
    <t>にしざわゆうと</t>
  </si>
  <si>
    <t>村上瑠璃</t>
  </si>
  <si>
    <t>むらかみるり</t>
  </si>
  <si>
    <t>三輪優梨子</t>
  </si>
  <si>
    <t>みわゆりこ</t>
  </si>
  <si>
    <t>中村直樹</t>
  </si>
  <si>
    <t>なかむらなおき</t>
  </si>
  <si>
    <t>早川正真</t>
  </si>
  <si>
    <t>はやかわしょうま</t>
  </si>
  <si>
    <t>森永理子</t>
  </si>
  <si>
    <t>もりながりこ</t>
  </si>
  <si>
    <t>内藤慶</t>
  </si>
  <si>
    <t>ないとうけい</t>
  </si>
  <si>
    <t>松田空</t>
  </si>
  <si>
    <t>まつだそら</t>
  </si>
  <si>
    <t>徳重遼大</t>
  </si>
  <si>
    <t>とくしげりょうた</t>
  </si>
  <si>
    <t>高橋幹人</t>
  </si>
  <si>
    <t>たかはしみきと</t>
  </si>
  <si>
    <t>栗林圭樹</t>
  </si>
  <si>
    <t>くりばやしけいじゅ</t>
  </si>
  <si>
    <t>柿沼優希</t>
  </si>
  <si>
    <t>かきぬまゆうき</t>
  </si>
  <si>
    <t>大道海斗</t>
  </si>
  <si>
    <t>だいどうかいと</t>
  </si>
  <si>
    <t>長尾健隼</t>
  </si>
  <si>
    <t>ながおけんと</t>
  </si>
  <si>
    <t>山中千緒里</t>
  </si>
  <si>
    <t>やまなかちおり</t>
  </si>
  <si>
    <t>間正百香</t>
  </si>
  <si>
    <t>ましょうももか</t>
  </si>
  <si>
    <t>野村尚志</t>
  </si>
  <si>
    <t>のむらひさし</t>
  </si>
  <si>
    <t>梶原玲央</t>
  </si>
  <si>
    <t>かじはられお</t>
  </si>
  <si>
    <t>中谷太陽</t>
  </si>
  <si>
    <t>なかやたいよう</t>
  </si>
  <si>
    <t>箕浦夕紀</t>
  </si>
  <si>
    <t>みのうらゆうき</t>
  </si>
  <si>
    <t>武田翔</t>
  </si>
  <si>
    <t>たけだしょう</t>
  </si>
  <si>
    <t>知久純也</t>
  </si>
  <si>
    <t>ちくじゅんや</t>
  </si>
  <si>
    <t>徳力雅哉</t>
  </si>
  <si>
    <t>とくりきまさや</t>
  </si>
  <si>
    <t>大羽育美</t>
  </si>
  <si>
    <t>おおばいくみ</t>
  </si>
  <si>
    <t>京都女子大学</t>
  </si>
  <si>
    <t>吉野舞桜</t>
  </si>
  <si>
    <t>よしのまお</t>
  </si>
  <si>
    <t>門井愛子</t>
  </si>
  <si>
    <t>かどいあいこ</t>
  </si>
  <si>
    <t>遠藤睦実</t>
  </si>
  <si>
    <t>えんどうむつみ</t>
  </si>
  <si>
    <t>多田朱里</t>
  </si>
  <si>
    <t>ただあかり</t>
  </si>
  <si>
    <t>井上史菜</t>
  </si>
  <si>
    <t>いのうえふみな</t>
  </si>
  <si>
    <t>奥田優希</t>
  </si>
  <si>
    <t>おくだゆき</t>
  </si>
  <si>
    <t>八木すみれ</t>
  </si>
  <si>
    <t>やぎすみれ</t>
  </si>
  <si>
    <t>大中実咲</t>
  </si>
  <si>
    <t>おおなかみさ</t>
  </si>
  <si>
    <t>貝澤杏樹</t>
  </si>
  <si>
    <t>かいざわあき</t>
  </si>
  <si>
    <t>堀池美穂</t>
  </si>
  <si>
    <t>ほりいけみほ</t>
  </si>
  <si>
    <t>藤村真菜</t>
  </si>
  <si>
    <t>ふじむらまな</t>
  </si>
  <si>
    <t>石川智花</t>
  </si>
  <si>
    <t>いしかわちはな</t>
  </si>
  <si>
    <t>土井	萌菜</t>
  </si>
  <si>
    <t>どいももな</t>
  </si>
  <si>
    <t>西村璃子</t>
  </si>
  <si>
    <t>にしむらりこ</t>
  </si>
  <si>
    <t>河合倫江</t>
  </si>
  <si>
    <t>かわいみちえ</t>
  </si>
  <si>
    <t>村井涼香</t>
  </si>
  <si>
    <t>むらいすずか</t>
  </si>
  <si>
    <t>永田結琳</t>
  </si>
  <si>
    <t>ながたゆり</t>
  </si>
  <si>
    <t>澤橋さくら</t>
  </si>
  <si>
    <t>さわはしさくら</t>
  </si>
  <si>
    <t>岩堀涼華</t>
  </si>
  <si>
    <t>いわほりすずか</t>
  </si>
  <si>
    <t>寺本遊林</t>
  </si>
  <si>
    <t>てらもとゆりん</t>
  </si>
  <si>
    <t>高谷美帆</t>
  </si>
  <si>
    <t>たかたにみほ</t>
  </si>
  <si>
    <t>神戸市立工業高等専門学校</t>
  </si>
  <si>
    <t>橋本遼佑</t>
  </si>
  <si>
    <t>はしもとりょうすけ</t>
  </si>
  <si>
    <t>奈良女子大学</t>
  </si>
  <si>
    <t>池山芽生</t>
  </si>
  <si>
    <t>いけやまめい</t>
  </si>
  <si>
    <t>三科百々果</t>
  </si>
  <si>
    <t>みしなももか</t>
  </si>
  <si>
    <t>米津明日智</t>
  </si>
  <si>
    <t>よねつあずさ</t>
  </si>
  <si>
    <t>野村佳那</t>
  </si>
  <si>
    <t>のむらかな</t>
  </si>
  <si>
    <t>岡野美希</t>
  </si>
  <si>
    <t>おかのみき</t>
  </si>
  <si>
    <t>根岸歩可</t>
  </si>
  <si>
    <t>ねぎしあゆか</t>
  </si>
  <si>
    <t>松山弥生</t>
  </si>
  <si>
    <t>まつやまやよい</t>
  </si>
  <si>
    <t>森すみれ</t>
  </si>
  <si>
    <t>もりすみれ</t>
  </si>
  <si>
    <t>氣賀和香</t>
  </si>
  <si>
    <t>きがのどか</t>
  </si>
  <si>
    <t>志村百彩</t>
  </si>
  <si>
    <t>しむらももか</t>
  </si>
  <si>
    <t>齋藤夢</t>
  </si>
  <si>
    <t>さいとうゆめ</t>
  </si>
  <si>
    <t>本間圭桃</t>
  </si>
  <si>
    <t>ほんまけいと</t>
  </si>
  <si>
    <t>沈恩知</t>
  </si>
  <si>
    <t>しむうんじ</t>
  </si>
  <si>
    <t>本窪田葵生</t>
  </si>
  <si>
    <t>もとくぼたあおい</t>
  </si>
  <si>
    <t>藤若柚寿</t>
  </si>
  <si>
    <t>ふじわかゆず</t>
  </si>
  <si>
    <t>水野こむぎ</t>
  </si>
  <si>
    <t>みずのこむぎ</t>
  </si>
  <si>
    <t>一ノ瀬百萌</t>
  </si>
  <si>
    <t>いちのせもも</t>
  </si>
  <si>
    <t>安藤百香</t>
  </si>
  <si>
    <t>あんどうももか</t>
  </si>
  <si>
    <t>前田樹香</t>
  </si>
  <si>
    <t>まえだこのか</t>
  </si>
  <si>
    <t>宮井沙絵</t>
  </si>
  <si>
    <t>みやいさえ</t>
  </si>
  <si>
    <t>松本実夏</t>
  </si>
  <si>
    <t>まつもとみなつ</t>
  </si>
  <si>
    <t>三浦七実</t>
  </si>
  <si>
    <t>みうらななみ</t>
  </si>
  <si>
    <t>西野楓香</t>
  </si>
  <si>
    <t>にしのふうか</t>
  </si>
  <si>
    <t>江藤榛花</t>
  </si>
  <si>
    <t>えとうはるか</t>
  </si>
  <si>
    <t>冨林恵</t>
  </si>
  <si>
    <t>とみばやしけい</t>
  </si>
  <si>
    <t>藤田真央</t>
  </si>
  <si>
    <t>ふじたまお</t>
  </si>
  <si>
    <t>水内夏希</t>
  </si>
  <si>
    <t>みずうちなつき</t>
  </si>
  <si>
    <t>小山真鈴</t>
  </si>
  <si>
    <t>こやまみれい</t>
  </si>
  <si>
    <t>川瀬智尋</t>
  </si>
  <si>
    <t>かわせちひろ</t>
  </si>
  <si>
    <t>伊藤瑞季</t>
  </si>
  <si>
    <t>いとうみずき</t>
  </si>
  <si>
    <t>角美咲希</t>
  </si>
  <si>
    <t>かどみさき</t>
  </si>
  <si>
    <t>林牧穂</t>
  </si>
  <si>
    <t>はやしまきほ</t>
  </si>
  <si>
    <t>穴田小都</t>
  </si>
  <si>
    <t>あなだこと</t>
  </si>
  <si>
    <t>竹内琴美</t>
  </si>
  <si>
    <t>たけうちことみ</t>
  </si>
  <si>
    <t>稲田千聖</t>
  </si>
  <si>
    <t>いなだちさと</t>
  </si>
  <si>
    <t>小早川瑛子</t>
  </si>
  <si>
    <t>こばやかわあきこ</t>
  </si>
  <si>
    <t>上田真結子</t>
  </si>
  <si>
    <t>うえだまゆこ</t>
  </si>
  <si>
    <t>藤本光</t>
  </si>
  <si>
    <t>ふじもとひかり</t>
  </si>
  <si>
    <t>吉田瑞穂</t>
  </si>
  <si>
    <t>よしだみずほ</t>
  </si>
  <si>
    <t>同志社大学</t>
  </si>
  <si>
    <t>近藤久美</t>
  </si>
  <si>
    <t>こんどうくみ</t>
  </si>
  <si>
    <t>山下唯</t>
  </si>
  <si>
    <t>やましたゆい</t>
  </si>
  <si>
    <t>京都工芸繊維大学</t>
  </si>
  <si>
    <t>石原尋季</t>
  </si>
  <si>
    <t>いしはらひろき</t>
  </si>
  <si>
    <t>龍谷大学</t>
  </si>
  <si>
    <t>坂本瑠璃子</t>
  </si>
  <si>
    <t>さかもとるりこ</t>
  </si>
  <si>
    <t>広島大学</t>
  </si>
  <si>
    <t>井上 風大</t>
  </si>
  <si>
    <t>いのうえ ふうた</t>
  </si>
  <si>
    <t>加藤 優拓</t>
  </si>
  <si>
    <t>かとう ゆうた</t>
  </si>
  <si>
    <t>佐藤　健人</t>
  </si>
  <si>
    <t>さとう　けんと</t>
  </si>
  <si>
    <t>一戸 厚志</t>
  </si>
  <si>
    <t>いちのへ あつし</t>
  </si>
  <si>
    <t>徳島大学</t>
  </si>
  <si>
    <t>福井陽貴</t>
  </si>
  <si>
    <t>ふくいはるき</t>
  </si>
  <si>
    <t>MARチーム数</t>
  </si>
  <si>
    <t>WARチーム数</t>
  </si>
  <si>
    <t>XARチーム数</t>
  </si>
  <si>
    <t>MAS参加人数</t>
  </si>
  <si>
    <t>WAS参加人数</t>
  </si>
  <si>
    <t>BRチーム数</t>
  </si>
  <si>
    <t>BS出場者数</t>
  </si>
  <si>
    <t>リレー混成チーム</t>
  </si>
  <si>
    <t>代表WAR:(北海道大学1人東京大学1人中村記念病院附属看護学校1人)</t>
  </si>
  <si>
    <t>⇒代表北海道?</t>
  </si>
  <si>
    <t>MER（東京農業大学(オホーツク)、神戸市立工業高等専門学校、京都工芸繊維大学）</t>
  </si>
  <si>
    <t>代表WAR：（お茶の水女子1人・一橋1人・津田塾1人）</t>
  </si>
  <si>
    <t>代表MAR：(慶應義塾大学1人横浜国立大学2人)、代表XAR：(慶應義塾大学1人相模女子大学2人)</t>
  </si>
  <si>
    <t>代表XAR:(千葉大学2人、神戸大学院1人)</t>
  </si>
  <si>
    <t>⇒神戸大学院？</t>
  </si>
  <si>
    <t>MAR：(筑波 2 人  法政大学１人)</t>
  </si>
  <si>
    <t>⇒代表筑波?</t>
  </si>
  <si>
    <t>WAR:(北海道大学1人 東京大学1人 中村記念病院附属看護学校1人)</t>
  </si>
  <si>
    <t>代表 XAR: (東京理科大学1人，日本女子大学2人)</t>
  </si>
  <si>
    <t>MAR:(法政大学1人、筑波大学2人)WER:(法政大学2人、国際基督教大学1人)</t>
  </si>
  <si>
    <t>MAR:(横浜国立大学2人　慶應義塾大学1人)</t>
  </si>
  <si>
    <t>MER:(茨城大学1人筑波大学大学院1人立教大学1人)BR:(立教大学1人日本大学2人)</t>
  </si>
  <si>
    <t>⇒BR代表立教?</t>
  </si>
  <si>
    <t>WAR：（東京大学1名　一橋大学1名　お茶の水女子大学1名）</t>
  </si>
  <si>
    <t>XAR(相模女子大学2人 慶応義塾大学1人)</t>
  </si>
  <si>
    <t>XAR：(東京理科大学1人 日本女子大学2人)</t>
  </si>
  <si>
    <t>代表MAR:(日本大学2人 東京工科大学1人)BR:(日本大学2人 立教大学1人)</t>
  </si>
  <si>
    <t>WAR（津田塾大学1人、一橋大学1人、お茶の水女子大学1人）</t>
  </si>
  <si>
    <t>MER(茨城大学、立教大学、筑波大学大学院)</t>
  </si>
  <si>
    <t>MAR(日大2人 東京工科大1人)0</t>
  </si>
  <si>
    <t>代表BR:(大阪大学1人、神戸大学1人、奈良女子大学1人)</t>
  </si>
  <si>
    <t>代表 WAR: (京都大学2人、京都女子大学1人)代表 BR: (京都大学1人、京都女子大学1人、立命館大学1人)</t>
  </si>
  <si>
    <r>
      <rPr>
        <rFont val="游ゴシック"/>
        <color theme="1"/>
        <sz val="11.0"/>
      </rPr>
      <t>WER：（神戸大学、龍谷大学、同志社大学）</t>
    </r>
    <r>
      <rPr>
        <rFont val="游ゴシック"/>
        <color theme="1"/>
        <sz val="11.0"/>
      </rPr>
      <t>BR：（神戸大学、大阪大学、奈良女子大学）XAR：（神戸大学大学院1名、千葉大学2名）</t>
    </r>
  </si>
  <si>
    <t>BR（京都大学1人 京都女子大学1人 立命館大学1人）</t>
  </si>
  <si>
    <r>
      <rPr>
        <rFont val="游ゴシック"/>
        <color theme="1"/>
        <sz val="11.0"/>
      </rPr>
      <t>WAR:（京都大学2人京都女子大学1人）</t>
    </r>
    <r>
      <rPr>
        <rFont val="游ゴシック"/>
        <color theme="1"/>
        <sz val="11.0"/>
      </rPr>
      <t>BR:（京都大学1人京都女子大学1人立命館大学1人）</t>
    </r>
  </si>
  <si>
    <t>BR：(大阪大学1人、神戸大学1人、奈良女子大学1人)</t>
  </si>
  <si>
    <t>WER（神戸大学、龍谷大学、同志社大学）</t>
  </si>
  <si>
    <t>モデルイベント参加</t>
  </si>
  <si>
    <t>不泊申請</t>
  </si>
  <si>
    <t>小高敦志</t>
  </si>
  <si>
    <t>おだかあつし</t>
  </si>
  <si>
    <t>○する</t>
  </si>
  <si>
    <t>鈴木遼賀</t>
  </si>
  <si>
    <t>すずきりょうが</t>
  </si>
  <si>
    <t>波根竣介</t>
  </si>
  <si>
    <t>はねしゅんすけ</t>
  </si>
  <si>
    <t>西原大貴</t>
  </si>
  <si>
    <t>にしはらだいき</t>
  </si>
  <si>
    <t>石川諒</t>
  </si>
  <si>
    <t>いしかわりょう</t>
  </si>
  <si>
    <t>桑山陽次</t>
  </si>
  <si>
    <t>くわやまようじ</t>
  </si>
  <si>
    <t>堂垂悠人</t>
  </si>
  <si>
    <t>どうたれゆうと</t>
  </si>
  <si>
    <t>×しない</t>
  </si>
  <si>
    <t>○不泊申請を行う</t>
  </si>
  <si>
    <t>丸山幸太</t>
  </si>
  <si>
    <t>まるやまこうた</t>
  </si>
  <si>
    <t>坂本慧</t>
  </si>
  <si>
    <t>さかもとさとる</t>
  </si>
  <si>
    <t>上西柳太</t>
  </si>
  <si>
    <t>うえにしりゅうた</t>
  </si>
  <si>
    <t>若林海人</t>
  </si>
  <si>
    <t>わかばやしかいと</t>
  </si>
  <si>
    <t>長瀬麻里子</t>
  </si>
  <si>
    <t>ながせまりこ</t>
  </si>
  <si>
    <t>伊藤嵩真</t>
  </si>
  <si>
    <t>いとうたかまさ</t>
  </si>
  <si>
    <t>清水俊祐</t>
  </si>
  <si>
    <t>しみずしゅんすけ</t>
  </si>
  <si>
    <t>伊藤頌太</t>
  </si>
  <si>
    <t>いとうしょうた</t>
  </si>
  <si>
    <t>1/9メール</t>
  </si>
  <si>
    <t>用松知樹</t>
  </si>
  <si>
    <t>ようまつともき</t>
  </si>
  <si>
    <t>宮嶋哲矢</t>
  </si>
  <si>
    <t>みやじまてつや</t>
  </si>
  <si>
    <t>笠井虹汰</t>
  </si>
  <si>
    <t>かさいこうた</t>
  </si>
  <si>
    <t>永山　遼真</t>
  </si>
  <si>
    <t>ながやま　りょうま</t>
  </si>
  <si>
    <t>佐藤　隆菜</t>
  </si>
  <si>
    <t>さとう　たかな</t>
  </si>
  <si>
    <t>菅波　崇志</t>
  </si>
  <si>
    <t>すがなみ　たかし</t>
  </si>
  <si>
    <t>宮本　和奏</t>
  </si>
  <si>
    <t>みやもと　わかな</t>
  </si>
  <si>
    <t>朝間玲羽</t>
  </si>
  <si>
    <t>あさまりょう</t>
  </si>
  <si>
    <t>伊藤元春</t>
  </si>
  <si>
    <t>いとうもとはる</t>
  </si>
  <si>
    <t>中島怜士</t>
  </si>
  <si>
    <t>なかしまれいじ</t>
  </si>
  <si>
    <t>川崎 拓巳</t>
  </si>
  <si>
    <t>かわさき たくみ</t>
  </si>
  <si>
    <t>吉田 菜々子</t>
  </si>
  <si>
    <t>よしだ ななこ</t>
  </si>
  <si>
    <t>小森直人</t>
  </si>
  <si>
    <t>こもりなおと</t>
  </si>
  <si>
    <t>藤澤達也</t>
  </si>
  <si>
    <t>ふじさわたつや</t>
  </si>
  <si>
    <t>衣笠匠斗</t>
  </si>
  <si>
    <t>きぬがさたくと</t>
  </si>
  <si>
    <t>本庄祐一</t>
  </si>
  <si>
    <t>ほんじょうゆういち</t>
  </si>
  <si>
    <t>楊泓志</t>
  </si>
  <si>
    <t>ようこうし</t>
  </si>
  <si>
    <t>羽田拓真</t>
  </si>
  <si>
    <t>はだたくま</t>
  </si>
  <si>
    <t>立松空</t>
  </si>
  <si>
    <t>たてまつそら</t>
  </si>
  <si>
    <t>宮岡竜也</t>
  </si>
  <si>
    <t>みやおかたつや</t>
  </si>
  <si>
    <t>根本夏林</t>
  </si>
  <si>
    <t>ねもとかりん</t>
  </si>
  <si>
    <t>上島じゅ菜</t>
  </si>
  <si>
    <t>かみしまじゅな</t>
  </si>
  <si>
    <t>藤原悠平</t>
  </si>
  <si>
    <t>ふじわらゆうへい</t>
  </si>
  <si>
    <t>中嶋律起</t>
  </si>
  <si>
    <t>なかじま りつき</t>
  </si>
  <si>
    <t>井上千帆里</t>
  </si>
  <si>
    <t>いのうえ ちほり</t>
  </si>
  <si>
    <t>山崎嘉津人</t>
  </si>
  <si>
    <t>やまざきかつと</t>
  </si>
  <si>
    <t>塚田翔太</t>
  </si>
  <si>
    <t>つかだしょうた</t>
  </si>
  <si>
    <t>榎戸 麻衣</t>
  </si>
  <si>
    <t>えのきど まい</t>
  </si>
  <si>
    <t>相馬哲平</t>
  </si>
  <si>
    <t>そうまてっぺい</t>
  </si>
  <si>
    <t>根岸健仁</t>
  </si>
  <si>
    <t>ねぎしけんと</t>
  </si>
  <si>
    <t>平岩　伊武季</t>
  </si>
  <si>
    <t>ひらいわ　いぶき</t>
  </si>
  <si>
    <t>阿部遼太郎</t>
  </si>
  <si>
    <t>あべりょうたろう</t>
  </si>
  <si>
    <t>→取り消し</t>
  </si>
  <si>
    <t>栗山ももこ</t>
  </si>
  <si>
    <t>くりやまももこ</t>
  </si>
  <si>
    <t>粟生啓介</t>
  </si>
  <si>
    <t>あおうけいすけ</t>
  </si>
  <si>
    <t>櫻井千尋</t>
  </si>
  <si>
    <t>さくらいちひろ</t>
  </si>
  <si>
    <t>五十嵐羽奏</t>
  </si>
  <si>
    <t>いがらしわかな</t>
  </si>
  <si>
    <t>近藤花保</t>
  </si>
  <si>
    <t>こんどうかほ</t>
  </si>
  <si>
    <t>須本みずほ</t>
  </si>
  <si>
    <t>すもとみずほ</t>
  </si>
  <si>
    <t>谷口瞬生</t>
  </si>
  <si>
    <t>たにぐちしゅんき</t>
  </si>
  <si>
    <t>竹重拓輝</t>
  </si>
  <si>
    <t>たけしげひろき</t>
  </si>
  <si>
    <t>伊藤良介</t>
  </si>
  <si>
    <t>いとうりょうすけ</t>
  </si>
  <si>
    <t>重岡さとみ</t>
  </si>
  <si>
    <t>しげおかさとみ</t>
  </si>
  <si>
    <t>二俣真</t>
  </si>
  <si>
    <t>ふたまたしん</t>
  </si>
  <si>
    <t>平岡丈</t>
  </si>
  <si>
    <t>ひらおかじょう</t>
  </si>
  <si>
    <t>松本萌恵</t>
  </si>
  <si>
    <t>まつもともえ</t>
  </si>
  <si>
    <t>浴本悠貴</t>
  </si>
  <si>
    <t>えきもとゆうき</t>
  </si>
  <si>
    <t>上田皓一朗</t>
  </si>
  <si>
    <t>うえだこういちろう</t>
  </si>
  <si>
    <t>藤田奈津美</t>
  </si>
  <si>
    <t>ふじたなつみ</t>
  </si>
  <si>
    <t>牧島晃平</t>
  </si>
  <si>
    <t>まきしまこうへい</t>
  </si>
  <si>
    <t>北海道大学1、東京大学1、中村記念病院附属看護学校1</t>
  </si>
  <si>
    <t>※特例措置</t>
  </si>
  <si>
    <t>東京農業大学(オホーツク)1、神戸市立工業高等専門学校1、京都工芸繊維大学1</t>
  </si>
  <si>
    <t>お茶の水女子大学1、一橋大学1、津田塾大学1</t>
  </si>
  <si>
    <t>慶應義塾大学1、横浜国立大学2</t>
  </si>
  <si>
    <t>慶應義塾大学1、相模女子大学2</t>
  </si>
  <si>
    <t>千葉大学2、神戸大学院1</t>
  </si>
  <si>
    <t>筑波2、法政大学1</t>
  </si>
  <si>
    <t>東京理科大学1，日本女子大学2</t>
  </si>
  <si>
    <t>※特例措置 WE 2/3</t>
  </si>
  <si>
    <t>国際基督教大学1、法政大学2</t>
  </si>
  <si>
    <t>茨城大学1、筑波大学大学院1、立教大学1人</t>
  </si>
  <si>
    <t>立教大学1、日本大学2</t>
  </si>
  <si>
    <t>津田塾大学1、一橋大学1、お茶の水女子大学1</t>
  </si>
  <si>
    <t>日本大学2、 東京工科大学1</t>
  </si>
  <si>
    <t>茨城大学1、立教大学1、筑波大学大学院1</t>
  </si>
  <si>
    <t>大阪大学1、神戸大学1、奈良女子大学1</t>
  </si>
  <si>
    <t>京都大学2、京都女子大学1</t>
  </si>
  <si>
    <t>京都大学1、京都女子大学1、立命館大学1</t>
  </si>
  <si>
    <t>神戸大学1、龍谷大学1、同志社大学1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</si>
</sst>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月d日"/>
  </numFmts>
  <fonts count="13">
    <font>
      <sz val="12.0"/>
      <color theme="1"/>
      <name val="Calibri"/>
      <scheme val="minor"/>
    </font>
    <font>
      <sz val="18.0"/>
      <color theme="1"/>
      <name val="MS PGothic"/>
    </font>
    <font>
      <sz val="12.0"/>
      <color theme="1"/>
      <name val="游ゴシック"/>
    </font>
    <font/>
    <font>
      <sz val="12.0"/>
      <color theme="1"/>
      <name val="Calibri"/>
    </font>
    <font>
      <sz val="11.0"/>
      <color theme="1"/>
      <name val="游ゴシック"/>
    </font>
    <font>
      <sz val="11.0"/>
      <color theme="1"/>
      <name val="Calibri"/>
    </font>
    <font>
      <sz val="11.0"/>
      <color rgb="FF000000"/>
      <name val="游ゴシック"/>
    </font>
    <font>
      <sz val="12.0"/>
      <color rgb="FF000000"/>
      <name val="游ゴシック"/>
    </font>
    <font>
      <color theme="1"/>
      <name val="Calibri"/>
    </font>
    <font>
      <b/>
      <sz val="11.0"/>
      <color rgb="FF000000"/>
      <name val="游ゴシック"/>
    </font>
    <font>
      <b/>
      <sz val="11.0"/>
      <color theme="1"/>
      <name val="游ゴシック"/>
    </font>
    <font>
      <sz val="8.0"/>
      <color theme="1"/>
      <name val="游ゴシック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</fills>
  <borders count="1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1" fillId="0" fontId="2" numFmtId="0" xfId="0" applyAlignment="1" applyBorder="1" applyFont="1">
      <alignment horizontal="center" vertical="center"/>
    </xf>
    <xf borderId="2" fillId="0" fontId="3" numFmtId="0" xfId="0" applyAlignment="1" applyBorder="1" applyFont="1">
      <alignment vertical="center"/>
    </xf>
    <xf borderId="3" fillId="0" fontId="3" numFmtId="0" xfId="0" applyAlignment="1" applyBorder="1" applyFont="1">
      <alignment vertical="center"/>
    </xf>
    <xf borderId="4" fillId="0" fontId="2" numFmtId="0" xfId="0" applyAlignment="1" applyBorder="1" applyFont="1">
      <alignment horizontal="center" vertical="center"/>
    </xf>
    <xf borderId="5" fillId="0" fontId="2" numFmtId="0" xfId="0" applyAlignment="1" applyBorder="1" applyFont="1">
      <alignment horizontal="center" vertical="center"/>
    </xf>
    <xf borderId="4" fillId="0" fontId="2" numFmtId="3" xfId="0" applyAlignment="1" applyBorder="1" applyFont="1" applyNumberFormat="1">
      <alignment horizontal="center" vertical="center"/>
    </xf>
    <xf borderId="6" fillId="0" fontId="3" numFmtId="0" xfId="0" applyAlignment="1" applyBorder="1" applyFont="1">
      <alignment vertical="center"/>
    </xf>
    <xf borderId="0" fillId="0" fontId="2" numFmtId="0" xfId="0" applyAlignment="1" applyFont="1">
      <alignment horizontal="center" vertical="center"/>
    </xf>
    <xf borderId="4" fillId="2" fontId="2" numFmtId="0" xfId="0" applyAlignment="1" applyBorder="1" applyFill="1" applyFont="1">
      <alignment horizontal="center" vertical="center"/>
    </xf>
    <xf borderId="4" fillId="2" fontId="2" numFmtId="3" xfId="0" applyAlignment="1" applyBorder="1" applyFont="1" applyNumberFormat="1">
      <alignment horizontal="center" vertical="center"/>
    </xf>
    <xf borderId="0" fillId="0" fontId="4" numFmtId="0" xfId="0" applyAlignment="1" applyFont="1">
      <alignment vertical="center"/>
    </xf>
    <xf borderId="2" fillId="0" fontId="2" numFmtId="0" xfId="0" applyAlignment="1" applyBorder="1" applyFont="1">
      <alignment horizontal="center" vertical="center"/>
    </xf>
    <xf borderId="2" fillId="0" fontId="2" numFmtId="0" xfId="0" applyAlignment="1" applyBorder="1" applyFont="1">
      <alignment vertical="center"/>
    </xf>
    <xf borderId="3" fillId="0" fontId="4" numFmtId="0" xfId="0" applyAlignment="1" applyBorder="1" applyFont="1">
      <alignment vertical="center"/>
    </xf>
    <xf borderId="7" fillId="0" fontId="2" numFmtId="0" xfId="0" applyAlignment="1" applyBorder="1" applyFont="1">
      <alignment horizontal="center" vertical="center"/>
    </xf>
    <xf borderId="6" fillId="0" fontId="2" numFmtId="0" xfId="0" applyAlignment="1" applyBorder="1" applyFont="1">
      <alignment horizontal="center" vertical="center"/>
    </xf>
    <xf borderId="8" fillId="0" fontId="2" numFmtId="0" xfId="0" applyAlignment="1" applyBorder="1" applyFont="1">
      <alignment horizontal="center" vertical="center"/>
    </xf>
    <xf borderId="4" fillId="0" fontId="4" numFmtId="0" xfId="0" applyAlignment="1" applyBorder="1" applyFont="1">
      <alignment horizontal="center" vertical="center"/>
    </xf>
    <xf borderId="2" fillId="0" fontId="4" numFmtId="0" xfId="0" applyAlignment="1" applyBorder="1" applyFont="1">
      <alignment vertical="center"/>
    </xf>
    <xf borderId="9" fillId="3" fontId="5" numFmtId="0" xfId="0" applyAlignment="1" applyBorder="1" applyFill="1" applyFont="1">
      <alignment vertical="center"/>
    </xf>
    <xf borderId="10" fillId="3" fontId="5" numFmtId="0" xfId="0" applyAlignment="1" applyBorder="1" applyFont="1">
      <alignment vertical="center"/>
    </xf>
    <xf borderId="11" fillId="3" fontId="5" numFmtId="0" xfId="0" applyAlignment="1" applyBorder="1" applyFont="1">
      <alignment vertical="center"/>
    </xf>
    <xf borderId="0" fillId="4" fontId="6" numFmtId="0" xfId="0" applyAlignment="1" applyFill="1" applyFont="1">
      <alignment vertical="center"/>
    </xf>
    <xf borderId="0" fillId="0" fontId="7" numFmtId="0" xfId="0" applyAlignment="1" applyFont="1">
      <alignment shrinkToFit="0" vertical="center" wrapText="0"/>
    </xf>
    <xf borderId="0" fillId="0" fontId="6" numFmtId="0" xfId="0" applyAlignment="1" applyFont="1">
      <alignment vertical="center"/>
    </xf>
    <xf borderId="3" fillId="0" fontId="5" numFmtId="0" xfId="0" applyAlignment="1" applyBorder="1" applyFont="1">
      <alignment vertical="center"/>
    </xf>
    <xf borderId="4" fillId="0" fontId="5" numFmtId="0" xfId="0" applyAlignment="1" applyBorder="1" applyFont="1">
      <alignment vertical="center"/>
    </xf>
    <xf borderId="1" fillId="0" fontId="5" numFmtId="0" xfId="0" applyAlignment="1" applyBorder="1" applyFont="1">
      <alignment vertical="center"/>
    </xf>
    <xf borderId="4" fillId="0" fontId="8" numFmtId="0" xfId="0" applyAlignment="1" applyBorder="1" applyFont="1">
      <alignment horizontal="center" shrinkToFit="0" vertical="center" wrapText="0"/>
    </xf>
    <xf borderId="6" fillId="0" fontId="8" numFmtId="0" xfId="0" applyAlignment="1" applyBorder="1" applyFont="1">
      <alignment horizontal="center" shrinkToFit="0" vertical="center" wrapText="0"/>
    </xf>
    <xf borderId="0" fillId="0" fontId="9" numFmtId="0" xfId="0" applyAlignment="1" applyFont="1">
      <alignment vertical="center"/>
    </xf>
    <xf borderId="4" fillId="0" fontId="8" numFmtId="164" xfId="0" applyAlignment="1" applyBorder="1" applyFont="1" applyNumberFormat="1">
      <alignment horizontal="center" shrinkToFit="0" vertical="center" wrapText="0"/>
    </xf>
    <xf borderId="6" fillId="0" fontId="8" numFmtId="164" xfId="0" applyAlignment="1" applyBorder="1" applyFont="1" applyNumberFormat="1">
      <alignment horizontal="center" shrinkToFit="0" vertical="center" wrapText="0"/>
    </xf>
    <xf borderId="12" fillId="0" fontId="5" numFmtId="0" xfId="0" applyAlignment="1" applyBorder="1" applyFont="1">
      <alignment vertical="center"/>
    </xf>
    <xf borderId="5" fillId="0" fontId="5" numFmtId="0" xfId="0" applyAlignment="1" applyBorder="1" applyFont="1">
      <alignment vertical="center"/>
    </xf>
    <xf borderId="13" fillId="0" fontId="5" numFmtId="0" xfId="0" applyAlignment="1" applyBorder="1" applyFont="1">
      <alignment vertical="center"/>
    </xf>
    <xf borderId="4" fillId="3" fontId="5" numFmtId="0" xfId="0" applyAlignment="1" applyBorder="1" applyFont="1">
      <alignment vertical="center"/>
    </xf>
    <xf borderId="4" fillId="0" fontId="10" numFmtId="0" xfId="0" applyAlignment="1" applyBorder="1" applyFont="1">
      <alignment vertical="center"/>
    </xf>
    <xf borderId="0" fillId="0" fontId="6" numFmtId="0" xfId="0" applyAlignment="1" applyFont="1">
      <alignment readingOrder="0" vertical="center"/>
    </xf>
    <xf borderId="4" fillId="0" fontId="11" numFmtId="0" xfId="0" applyAlignment="1" applyBorder="1" applyFont="1">
      <alignment vertical="center"/>
    </xf>
    <xf borderId="4" fillId="5" fontId="11" numFmtId="0" xfId="0" applyAlignment="1" applyBorder="1" applyFill="1" applyFont="1">
      <alignment vertical="center"/>
    </xf>
    <xf borderId="0" fillId="0" fontId="5" numFmtId="0" xfId="0" applyAlignment="1" applyFont="1">
      <alignment vertical="center"/>
    </xf>
    <xf borderId="0" fillId="2" fontId="9" numFmtId="164" xfId="0" applyAlignment="1" applyFont="1" applyNumberFormat="1">
      <alignment vertical="center"/>
    </xf>
    <xf borderId="0" fillId="0" fontId="9" numFmtId="164" xfId="0" applyAlignment="1" applyFont="1" applyNumberFormat="1">
      <alignment vertical="center"/>
    </xf>
    <xf borderId="4" fillId="0" fontId="2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1" fillId="0" fontId="12" numFmtId="0" xfId="0" applyAlignment="1" applyBorder="1" applyFont="1">
      <alignment horizontal="center" vertical="center"/>
    </xf>
    <xf borderId="2" fillId="0" fontId="2" numFmtId="164" xfId="0" applyAlignment="1" applyBorder="1" applyFont="1" applyNumberFormat="1">
      <alignment vertical="center"/>
    </xf>
    <xf borderId="4" fillId="0" fontId="2" numFmtId="164" xfId="0" applyAlignment="1" applyBorder="1" applyFont="1" applyNumberFormat="1">
      <alignment horizontal="center" vertical="center"/>
    </xf>
    <xf borderId="0" fillId="0" fontId="1" numFmtId="0" xfId="0" applyAlignment="1" applyFont="1">
      <alignment readingOrder="0" vertical="center"/>
    </xf>
    <xf borderId="4" fillId="0" fontId="2" numFmtId="3" xfId="0" applyAlignment="1" applyBorder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40" Type="http://schemas.openxmlformats.org/officeDocument/2006/relationships/worksheet" Target="worksheets/sheet37.xml"/><Relationship Id="rId42" Type="http://schemas.openxmlformats.org/officeDocument/2006/relationships/worksheet" Target="worksheets/sheet39.xml"/><Relationship Id="rId41" Type="http://schemas.openxmlformats.org/officeDocument/2006/relationships/worksheet" Target="worksheets/sheet38.xml"/><Relationship Id="rId44" Type="http://schemas.openxmlformats.org/officeDocument/2006/relationships/worksheet" Target="worksheets/sheet41.xml"/><Relationship Id="rId43" Type="http://schemas.openxmlformats.org/officeDocument/2006/relationships/worksheet" Target="worksheets/sheet40.xml"/><Relationship Id="rId46" Type="http://schemas.openxmlformats.org/officeDocument/2006/relationships/worksheet" Target="worksheets/sheet43.xml"/><Relationship Id="rId45" Type="http://schemas.openxmlformats.org/officeDocument/2006/relationships/worksheet" Target="worksheets/sheet42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48" Type="http://schemas.openxmlformats.org/officeDocument/2006/relationships/worksheet" Target="worksheets/sheet45.xml"/><Relationship Id="rId47" Type="http://schemas.openxmlformats.org/officeDocument/2006/relationships/worksheet" Target="worksheets/sheet44.xml"/><Relationship Id="rId49" Type="http://schemas.openxmlformats.org/officeDocument/2006/relationships/worksheet" Target="worksheets/sheet4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33" Type="http://schemas.openxmlformats.org/officeDocument/2006/relationships/worksheet" Target="worksheets/sheet30.xml"/><Relationship Id="rId32" Type="http://schemas.openxmlformats.org/officeDocument/2006/relationships/worksheet" Target="worksheets/sheet29.xml"/><Relationship Id="rId35" Type="http://schemas.openxmlformats.org/officeDocument/2006/relationships/worksheet" Target="worksheets/sheet32.xml"/><Relationship Id="rId34" Type="http://schemas.openxmlformats.org/officeDocument/2006/relationships/worksheet" Target="worksheets/sheet31.xml"/><Relationship Id="rId37" Type="http://schemas.openxmlformats.org/officeDocument/2006/relationships/worksheet" Target="worksheets/sheet34.xml"/><Relationship Id="rId36" Type="http://schemas.openxmlformats.org/officeDocument/2006/relationships/worksheet" Target="worksheets/sheet33.xml"/><Relationship Id="rId39" Type="http://schemas.openxmlformats.org/officeDocument/2006/relationships/worksheet" Target="worksheets/sheet36.xml"/><Relationship Id="rId38" Type="http://schemas.openxmlformats.org/officeDocument/2006/relationships/worksheet" Target="worksheets/sheet35.xml"/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29" Type="http://schemas.openxmlformats.org/officeDocument/2006/relationships/worksheet" Target="worksheets/sheet26.xml"/><Relationship Id="rId51" Type="http://schemas.openxmlformats.org/officeDocument/2006/relationships/worksheet" Target="worksheets/sheet48.xml"/><Relationship Id="rId50" Type="http://schemas.openxmlformats.org/officeDocument/2006/relationships/worksheet" Target="worksheets/sheet47.xml"/><Relationship Id="rId53" Type="http://schemas.openxmlformats.org/officeDocument/2006/relationships/worksheet" Target="worksheets/sheet50.xml"/><Relationship Id="rId52" Type="http://schemas.openxmlformats.org/officeDocument/2006/relationships/worksheet" Target="worksheets/sheet49.xml"/><Relationship Id="rId11" Type="http://schemas.openxmlformats.org/officeDocument/2006/relationships/worksheet" Target="worksheets/sheet8.xml"/><Relationship Id="rId55" Type="http://schemas.openxmlformats.org/officeDocument/2006/relationships/worksheet" Target="worksheets/sheet52.xml"/><Relationship Id="rId10" Type="http://schemas.openxmlformats.org/officeDocument/2006/relationships/worksheet" Target="worksheets/sheet7.xml"/><Relationship Id="rId54" Type="http://schemas.openxmlformats.org/officeDocument/2006/relationships/worksheet" Target="worksheets/sheet51.xml"/><Relationship Id="rId13" Type="http://schemas.openxmlformats.org/officeDocument/2006/relationships/worksheet" Target="worksheets/sheet10.xml"/><Relationship Id="rId57" Type="http://customschemas.google.com/relationships/workbookmetadata" Target="metadata"/><Relationship Id="rId12" Type="http://schemas.openxmlformats.org/officeDocument/2006/relationships/worksheet" Target="worksheets/sheet9.xml"/><Relationship Id="rId56" Type="http://schemas.openxmlformats.org/officeDocument/2006/relationships/worksheet" Target="worksheets/sheet53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0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10</v>
      </c>
      <c r="E4" s="7">
        <f t="shared" ref="E4:E8" si="1">C4*D4</f>
        <v>85000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2</v>
      </c>
      <c r="E5" s="7">
        <f t="shared" si="1"/>
        <v>16000</v>
      </c>
    </row>
    <row r="6" ht="19.5" customHeight="1">
      <c r="A6" s="2" t="s">
        <v>9</v>
      </c>
      <c r="B6" s="4"/>
      <c r="C6" s="7">
        <v>32700.0</v>
      </c>
      <c r="D6" s="5">
        <f>D4+D5</f>
        <v>12</v>
      </c>
      <c r="E6" s="7">
        <f t="shared" si="1"/>
        <v>392400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1</v>
      </c>
      <c r="E7" s="7">
        <f t="shared" si="1"/>
        <v>4500</v>
      </c>
    </row>
    <row r="8" ht="19.5" customHeight="1">
      <c r="A8" s="2" t="s">
        <v>11</v>
      </c>
      <c r="B8" s="4"/>
      <c r="C8" s="7">
        <v>500.0</v>
      </c>
      <c r="D8" s="5">
        <f>D4-COUNT(H14:H201)</f>
        <v>10</v>
      </c>
      <c r="E8" s="7">
        <f t="shared" si="1"/>
        <v>5000</v>
      </c>
    </row>
    <row r="9" ht="19.5" customHeight="1">
      <c r="A9" s="9"/>
      <c r="B9" s="9"/>
      <c r="C9" s="9"/>
      <c r="D9" s="10" t="s">
        <v>5</v>
      </c>
      <c r="E9" s="11">
        <f>SUM(E4:E8)</f>
        <v>502900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5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IFERROR(__xludf.DUMMYFUNCTION("FILTER('個人別エントリー'!C2:L1018,'個人別エントリー'!B2:B1018=A1)"),310101.0)</f>
        <v>310101</v>
      </c>
      <c r="B14" s="5" t="str">
        <f>IFERROR(__xludf.DUMMYFUNCTION("""COMPUTED_VALUE"""),"嶋津光祐")</f>
        <v>嶋津光祐</v>
      </c>
      <c r="C14" s="5" t="str">
        <f>IFERROR(__xludf.DUMMYFUNCTION("""COMPUTED_VALUE"""),"しまつこうすけ")</f>
        <v>しまつこうすけ</v>
      </c>
      <c r="D14" s="5">
        <f>IFERROR(__xludf.DUMMYFUNCTION("""COMPUTED_VALUE"""),1.0)</f>
        <v>1</v>
      </c>
      <c r="E14" s="5" t="str">
        <f>IFERROR(__xludf.DUMMYFUNCTION("""COMPUTED_VALUE"""),"男")</f>
        <v>男</v>
      </c>
      <c r="F14" s="5" t="str">
        <f>IFERROR(__xludf.DUMMYFUNCTION("""COMPUTED_VALUE"""),"MUF")</f>
        <v>MUF</v>
      </c>
      <c r="G14" s="5" t="str">
        <f>IFERROR(__xludf.DUMMYFUNCTION("""COMPUTED_VALUE"""),"○出場")</f>
        <v>○出場</v>
      </c>
      <c r="H14" s="5"/>
      <c r="I14" s="5" t="str">
        <f>IFERROR(__xludf.DUMMYFUNCTION("""COMPUTED_VALUE"""),"○参加する")</f>
        <v>○参加する</v>
      </c>
      <c r="J14" s="5"/>
      <c r="K14" s="12">
        <f t="shared" ref="K14:K201" si="2">IF(AND(OR(F14="×欠場",F14=""),OR(G14="×欠場",G14="")),0,1)</f>
        <v>1</v>
      </c>
      <c r="M14" s="5" t="str">
        <f>IFERROR(__xludf.DUMMYFUNCTION("FILTER('リレー内容'!$C$2:$K$51,'リレー内容'!$B$2:$B$51=A1)"),"○出場")</f>
        <v>○出場</v>
      </c>
      <c r="N14" s="5" t="str">
        <f>IFERROR(__xludf.DUMMYFUNCTION("""COMPUTED_VALUE"""),"×欠場")</f>
        <v>×欠場</v>
      </c>
      <c r="O14" s="5">
        <f>IFERROR(__xludf.DUMMYFUNCTION("""COMPUTED_VALUE"""),0.0)</f>
        <v>0</v>
      </c>
      <c r="P14" s="5">
        <f>IFERROR(__xludf.DUMMYFUNCTION("""COMPUTED_VALUE"""),0.0)</f>
        <v>0</v>
      </c>
      <c r="Q14" s="5">
        <f>IFERROR(__xludf.DUMMYFUNCTION("""COMPUTED_VALUE"""),0.0)</f>
        <v>0</v>
      </c>
      <c r="R14" s="5">
        <f>IFERROR(__xludf.DUMMYFUNCTION("""COMPUTED_VALUE"""),0.0)</f>
        <v>0</v>
      </c>
      <c r="S14" s="5">
        <f>IFERROR(__xludf.DUMMYFUNCTION("""COMPUTED_VALUE"""),1.0)</f>
        <v>1</v>
      </c>
      <c r="T14" s="5">
        <f>IFERROR(__xludf.DUMMYFUNCTION("""COMPUTED_VALUE"""),2.0)</f>
        <v>2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IFERROR(__xludf.DUMMYFUNCTION("""COMPUTED_VALUE"""),310102.0)</f>
        <v>310102</v>
      </c>
      <c r="B15" s="5" t="str">
        <f>IFERROR(__xludf.DUMMYFUNCTION("""COMPUTED_VALUE"""),"小河慧樹")</f>
        <v>小河慧樹</v>
      </c>
      <c r="C15" s="5" t="str">
        <f>IFERROR(__xludf.DUMMYFUNCTION("""COMPUTED_VALUE"""),"おがわさとき")</f>
        <v>おがわさとき</v>
      </c>
      <c r="D15" s="5">
        <f>IFERROR(__xludf.DUMMYFUNCTION("""COMPUTED_VALUE"""),1.0)</f>
        <v>1</v>
      </c>
      <c r="E15" s="5" t="str">
        <f>IFERROR(__xludf.DUMMYFUNCTION("""COMPUTED_VALUE"""),"男")</f>
        <v>男</v>
      </c>
      <c r="F15" s="5" t="str">
        <f>IFERROR(__xludf.DUMMYFUNCTION("""COMPUTED_VALUE"""),"×欠場")</f>
        <v>×欠場</v>
      </c>
      <c r="G15" s="5" t="str">
        <f>IFERROR(__xludf.DUMMYFUNCTION("""COMPUTED_VALUE"""),"×欠場")</f>
        <v>×欠場</v>
      </c>
      <c r="H15" s="5"/>
      <c r="I15" s="5" t="str">
        <f>IFERROR(__xludf.DUMMYFUNCTION("""COMPUTED_VALUE"""),"×参加しない")</f>
        <v>×参加しない</v>
      </c>
      <c r="J15" s="5"/>
      <c r="K15" s="12">
        <f t="shared" si="2"/>
        <v>0</v>
      </c>
    </row>
    <row r="16" ht="19.5" customHeight="1">
      <c r="A16" s="5">
        <f>IFERROR(__xludf.DUMMYFUNCTION("""COMPUTED_VALUE"""),310103.0)</f>
        <v>310103</v>
      </c>
      <c r="B16" s="5" t="str">
        <f>IFERROR(__xludf.DUMMYFUNCTION("""COMPUTED_VALUE"""),"安藤葵")</f>
        <v>安藤葵</v>
      </c>
      <c r="C16" s="5" t="str">
        <f>IFERROR(__xludf.DUMMYFUNCTION("""COMPUTED_VALUE"""),"あんどうあおい")</f>
        <v>あんどうあおい</v>
      </c>
      <c r="D16" s="5">
        <f>IFERROR(__xludf.DUMMYFUNCTION("""COMPUTED_VALUE"""),1.0)</f>
        <v>1</v>
      </c>
      <c r="E16" s="5" t="str">
        <f>IFERROR(__xludf.DUMMYFUNCTION("""COMPUTED_VALUE"""),"女")</f>
        <v>女</v>
      </c>
      <c r="F16" s="5" t="str">
        <f>IFERROR(__xludf.DUMMYFUNCTION("""COMPUTED_VALUE"""),"WUF")</f>
        <v>WUF</v>
      </c>
      <c r="G16" s="5" t="str">
        <f>IFERROR(__xludf.DUMMYFUNCTION("""COMPUTED_VALUE"""),"○出場")</f>
        <v>○出場</v>
      </c>
      <c r="H16" s="5"/>
      <c r="I16" s="5" t="str">
        <f>IFERROR(__xludf.DUMMYFUNCTION("""COMPUTED_VALUE"""),"○参加する")</f>
        <v>○参加する</v>
      </c>
      <c r="J16" s="5"/>
      <c r="K16" s="12">
        <f t="shared" si="2"/>
        <v>1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>
        <f>IFERROR(__xludf.DUMMYFUNCTION("""COMPUTED_VALUE"""),310104.0)</f>
        <v>310104</v>
      </c>
      <c r="B17" s="5" t="str">
        <f>IFERROR(__xludf.DUMMYFUNCTION("""COMPUTED_VALUE"""),"喜屋武南海")</f>
        <v>喜屋武南海</v>
      </c>
      <c r="C17" s="5" t="str">
        <f>IFERROR(__xludf.DUMMYFUNCTION("""COMPUTED_VALUE"""),"きゃんみなみ")</f>
        <v>きゃんみなみ</v>
      </c>
      <c r="D17" s="5">
        <f>IFERROR(__xludf.DUMMYFUNCTION("""COMPUTED_VALUE"""),1.0)</f>
        <v>1</v>
      </c>
      <c r="E17" s="5" t="str">
        <f>IFERROR(__xludf.DUMMYFUNCTION("""COMPUTED_VALUE"""),"女")</f>
        <v>女</v>
      </c>
      <c r="F17" s="5" t="str">
        <f>IFERROR(__xludf.DUMMYFUNCTION("""COMPUTED_VALUE"""),"WUF")</f>
        <v>WUF</v>
      </c>
      <c r="G17" s="5" t="str">
        <f>IFERROR(__xludf.DUMMYFUNCTION("""COMPUTED_VALUE"""),"○出場")</f>
        <v>○出場</v>
      </c>
      <c r="H17" s="5"/>
      <c r="I17" s="5" t="str">
        <f>IFERROR(__xludf.DUMMYFUNCTION("""COMPUTED_VALUE"""),"○参加する")</f>
        <v>○参加する</v>
      </c>
      <c r="J17" s="5"/>
      <c r="K17" s="12">
        <f t="shared" si="2"/>
        <v>1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>
        <f>IFERROR(__xludf.DUMMYFUNCTION("""COMPUTED_VALUE"""),310105.0)</f>
        <v>310105</v>
      </c>
      <c r="B18" s="5" t="str">
        <f>IFERROR(__xludf.DUMMYFUNCTION("""COMPUTED_VALUE"""),"清水豪希")</f>
        <v>清水豪希</v>
      </c>
      <c r="C18" s="5" t="str">
        <f>IFERROR(__xludf.DUMMYFUNCTION("""COMPUTED_VALUE"""),"しみずごうき")</f>
        <v>しみずごうき</v>
      </c>
      <c r="D18" s="5">
        <f>IFERROR(__xludf.DUMMYFUNCTION("""COMPUTED_VALUE"""),1.0)</f>
        <v>1</v>
      </c>
      <c r="E18" s="5" t="str">
        <f>IFERROR(__xludf.DUMMYFUNCTION("""COMPUTED_VALUE"""),"男")</f>
        <v>男</v>
      </c>
      <c r="F18" s="5" t="str">
        <f>IFERROR(__xludf.DUMMYFUNCTION("""COMPUTED_VALUE"""),"MUF")</f>
        <v>MUF</v>
      </c>
      <c r="G18" s="5" t="str">
        <f>IFERROR(__xludf.DUMMYFUNCTION("""COMPUTED_VALUE"""),"○出場")</f>
        <v>○出場</v>
      </c>
      <c r="H18" s="5"/>
      <c r="I18" s="5" t="str">
        <f>IFERROR(__xludf.DUMMYFUNCTION("""COMPUTED_VALUE"""),"○参加する")</f>
        <v>○参加する</v>
      </c>
      <c r="J18" s="5"/>
      <c r="K18" s="12">
        <f t="shared" si="2"/>
        <v>1</v>
      </c>
      <c r="M18" s="5"/>
      <c r="N18" s="2"/>
      <c r="O18" s="4"/>
      <c r="P18" s="2"/>
      <c r="Q18" s="3"/>
      <c r="R18" s="3"/>
      <c r="S18" s="3"/>
      <c r="T18" s="3"/>
      <c r="U18" s="4"/>
    </row>
    <row r="19" ht="19.5" customHeight="1">
      <c r="A19" s="5">
        <f>IFERROR(__xludf.DUMMYFUNCTION("""COMPUTED_VALUE"""),310106.0)</f>
        <v>310106</v>
      </c>
      <c r="B19" s="5" t="str">
        <f>IFERROR(__xludf.DUMMYFUNCTION("""COMPUTED_VALUE"""),"多田春菜")</f>
        <v>多田春菜</v>
      </c>
      <c r="C19" s="5" t="str">
        <f>IFERROR(__xludf.DUMMYFUNCTION("""COMPUTED_VALUE"""),"ただはるな")</f>
        <v>ただはるな</v>
      </c>
      <c r="D19" s="5">
        <f>IFERROR(__xludf.DUMMYFUNCTION("""COMPUTED_VALUE"""),1.0)</f>
        <v>1</v>
      </c>
      <c r="E19" s="5" t="str">
        <f>IFERROR(__xludf.DUMMYFUNCTION("""COMPUTED_VALUE"""),"女")</f>
        <v>女</v>
      </c>
      <c r="F19" s="5" t="str">
        <f>IFERROR(__xludf.DUMMYFUNCTION("""COMPUTED_VALUE"""),"×欠場")</f>
        <v>×欠場</v>
      </c>
      <c r="G19" s="5" t="str">
        <f>IFERROR(__xludf.DUMMYFUNCTION("""COMPUTED_VALUE"""),"×欠場")</f>
        <v>×欠場</v>
      </c>
      <c r="H19" s="5"/>
      <c r="I19" s="5" t="str">
        <f>IFERROR(__xludf.DUMMYFUNCTION("""COMPUTED_VALUE"""),"×参加しない")</f>
        <v>×参加しない</v>
      </c>
      <c r="J19" s="5"/>
      <c r="K19" s="12">
        <f t="shared" si="2"/>
        <v>0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>
        <f>IFERROR(__xludf.DUMMYFUNCTION("""COMPUTED_VALUE"""),310107.0)</f>
        <v>310107</v>
      </c>
      <c r="B20" s="5" t="str">
        <f>IFERROR(__xludf.DUMMYFUNCTION("""COMPUTED_VALUE"""),"山崎僚太")</f>
        <v>山崎僚太</v>
      </c>
      <c r="C20" s="5" t="str">
        <f>IFERROR(__xludf.DUMMYFUNCTION("""COMPUTED_VALUE"""),"やまざきりょうた")</f>
        <v>やまざきりょうた</v>
      </c>
      <c r="D20" s="5">
        <f>IFERROR(__xludf.DUMMYFUNCTION("""COMPUTED_VALUE"""),1.0)</f>
        <v>1</v>
      </c>
      <c r="E20" s="5" t="str">
        <f>IFERROR(__xludf.DUMMYFUNCTION("""COMPUTED_VALUE"""),"男")</f>
        <v>男</v>
      </c>
      <c r="F20" s="5" t="str">
        <f>IFERROR(__xludf.DUMMYFUNCTION("""COMPUTED_VALUE"""),"MUF")</f>
        <v>MUF</v>
      </c>
      <c r="G20" s="5" t="str">
        <f>IFERROR(__xludf.DUMMYFUNCTION("""COMPUTED_VALUE"""),"○出場")</f>
        <v>○出場</v>
      </c>
      <c r="H20" s="5"/>
      <c r="I20" s="5" t="str">
        <f>IFERROR(__xludf.DUMMYFUNCTION("""COMPUTED_VALUE"""),"○参加する")</f>
        <v>○参加する</v>
      </c>
      <c r="J20" s="5"/>
      <c r="K20" s="12">
        <f t="shared" si="2"/>
        <v>1</v>
      </c>
    </row>
    <row r="21" ht="19.5" customHeight="1">
      <c r="A21" s="5">
        <f>IFERROR(__xludf.DUMMYFUNCTION("""COMPUTED_VALUE"""),310108.0)</f>
        <v>310108</v>
      </c>
      <c r="B21" s="5" t="str">
        <f>IFERROR(__xludf.DUMMYFUNCTION("""COMPUTED_VALUE"""),"石田岳人")</f>
        <v>石田岳人</v>
      </c>
      <c r="C21" s="5" t="str">
        <f>IFERROR(__xludf.DUMMYFUNCTION("""COMPUTED_VALUE"""),"いしだがくと")</f>
        <v>いしだがくと</v>
      </c>
      <c r="D21" s="5">
        <f>IFERROR(__xludf.DUMMYFUNCTION("""COMPUTED_VALUE"""),1.0)</f>
        <v>1</v>
      </c>
      <c r="E21" s="5" t="str">
        <f>IFERROR(__xludf.DUMMYFUNCTION("""COMPUTED_VALUE"""),"男")</f>
        <v>男</v>
      </c>
      <c r="F21" s="5" t="str">
        <f>IFERROR(__xludf.DUMMYFUNCTION("""COMPUTED_VALUE"""),"×欠場")</f>
        <v>×欠場</v>
      </c>
      <c r="G21" s="5" t="str">
        <f>IFERROR(__xludf.DUMMYFUNCTION("""COMPUTED_VALUE"""),"×欠場")</f>
        <v>×欠場</v>
      </c>
      <c r="H21" s="5"/>
      <c r="I21" s="5" t="str">
        <f>IFERROR(__xludf.DUMMYFUNCTION("""COMPUTED_VALUE"""),"×参加しない")</f>
        <v>×参加しない</v>
      </c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>
        <f>IFERROR(__xludf.DUMMYFUNCTION("""COMPUTED_VALUE"""),310109.0)</f>
        <v>310109</v>
      </c>
      <c r="B22" s="5" t="str">
        <f>IFERROR(__xludf.DUMMYFUNCTION("""COMPUTED_VALUE"""),"大久保壮琉")</f>
        <v>大久保壮琉</v>
      </c>
      <c r="C22" s="5" t="str">
        <f>IFERROR(__xludf.DUMMYFUNCTION("""COMPUTED_VALUE"""),"おおくぼたける")</f>
        <v>おおくぼたける</v>
      </c>
      <c r="D22" s="5">
        <f>IFERROR(__xludf.DUMMYFUNCTION("""COMPUTED_VALUE"""),1.0)</f>
        <v>1</v>
      </c>
      <c r="E22" s="5" t="str">
        <f>IFERROR(__xludf.DUMMYFUNCTION("""COMPUTED_VALUE"""),"男")</f>
        <v>男</v>
      </c>
      <c r="F22" s="5" t="str">
        <f>IFERROR(__xludf.DUMMYFUNCTION("""COMPUTED_VALUE"""),"×欠場")</f>
        <v>×欠場</v>
      </c>
      <c r="G22" s="5" t="str">
        <f>IFERROR(__xludf.DUMMYFUNCTION("""COMPUTED_VALUE"""),"×欠場")</f>
        <v>×欠場</v>
      </c>
      <c r="H22" s="5"/>
      <c r="I22" s="5" t="str">
        <f>IFERROR(__xludf.DUMMYFUNCTION("""COMPUTED_VALUE"""),"×参加しない")</f>
        <v>×参加しない</v>
      </c>
      <c r="J22" s="5"/>
      <c r="K22" s="12">
        <f t="shared" si="2"/>
        <v>0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>
        <f>IFERROR(__xludf.DUMMYFUNCTION("""COMPUTED_VALUE"""),310110.0)</f>
        <v>310110</v>
      </c>
      <c r="B23" s="5" t="str">
        <f>IFERROR(__xludf.DUMMYFUNCTION("""COMPUTED_VALUE"""),"相良泰斗")</f>
        <v>相良泰斗</v>
      </c>
      <c r="C23" s="5" t="str">
        <f>IFERROR(__xludf.DUMMYFUNCTION("""COMPUTED_VALUE"""),"さがらたいと")</f>
        <v>さがらたいと</v>
      </c>
      <c r="D23" s="5">
        <f>IFERROR(__xludf.DUMMYFUNCTION("""COMPUTED_VALUE"""),1.0)</f>
        <v>1</v>
      </c>
      <c r="E23" s="5" t="str">
        <f>IFERROR(__xludf.DUMMYFUNCTION("""COMPUTED_VALUE"""),"男")</f>
        <v>男</v>
      </c>
      <c r="F23" s="5" t="str">
        <f>IFERROR(__xludf.DUMMYFUNCTION("""COMPUTED_VALUE"""),"×欠場")</f>
        <v>×欠場</v>
      </c>
      <c r="G23" s="5" t="str">
        <f>IFERROR(__xludf.DUMMYFUNCTION("""COMPUTED_VALUE"""),"×欠場")</f>
        <v>×欠場</v>
      </c>
      <c r="H23" s="5"/>
      <c r="I23" s="5" t="str">
        <f>IFERROR(__xludf.DUMMYFUNCTION("""COMPUTED_VALUE"""),"×参加しない")</f>
        <v>×参加しない</v>
      </c>
      <c r="J23" s="5"/>
      <c r="K23" s="12">
        <f t="shared" si="2"/>
        <v>0</v>
      </c>
      <c r="M23" s="2" t="str">
        <f>IFERROR(__xludf.DUMMYFUNCTION("FILTER('オフィシャル'!$B$2:$B$65,'オフィシャル'!$A$2:$A$65=A1)"),"小高敦志")</f>
        <v>小高敦志</v>
      </c>
      <c r="N23" s="4"/>
      <c r="O23" s="2" t="str">
        <f>IFERROR(__xludf.DUMMYFUNCTION("FILTER('オフィシャル'!$C$2:$C$65,'オフィシャル'!$A$2:$A$65=A1)"),"おだかあつし")</f>
        <v>おだかあつし</v>
      </c>
      <c r="P23" s="3"/>
      <c r="Q23" s="5" t="str">
        <f>IFERROR(__xludf.DUMMYFUNCTION("FILTER('オフィシャル'!$D$2:$D$65,'オフィシャル'!$A$2:$A$65=A1)"),"男")</f>
        <v>男</v>
      </c>
      <c r="R23" s="2" t="str">
        <f>IFERROR(__xludf.DUMMYFUNCTION("FILTER('オフィシャル'!$E$2:$E$65,'オフィシャル'!$A$2:$A$65=A1)"),"○する")</f>
        <v>○する</v>
      </c>
      <c r="S23" s="4"/>
      <c r="T23" s="14" t="str">
        <f>IFERROR(__xludf.DUMMYFUNCTION("FILTER('オフィシャル'!$F$2:$F$65,'オフィシャル'!$A$2:$A$65=A1)"),"")</f>
        <v/>
      </c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>
        <f>IFERROR(__xludf.DUMMYFUNCTION("""COMPUTED_VALUE"""),310111.0)</f>
        <v>310111</v>
      </c>
      <c r="B24" s="5" t="str">
        <f>IFERROR(__xludf.DUMMYFUNCTION("""COMPUTED_VALUE"""),"山家楓")</f>
        <v>山家楓</v>
      </c>
      <c r="C24" s="5" t="str">
        <f>IFERROR(__xludf.DUMMYFUNCTION("""COMPUTED_VALUE"""),"やまがかえで")</f>
        <v>やまがかえで</v>
      </c>
      <c r="D24" s="5">
        <f>IFERROR(__xludf.DUMMYFUNCTION("""COMPUTED_VALUE"""),1.0)</f>
        <v>1</v>
      </c>
      <c r="E24" s="5" t="str">
        <f>IFERROR(__xludf.DUMMYFUNCTION("""COMPUTED_VALUE"""),"男")</f>
        <v>男</v>
      </c>
      <c r="F24" s="5" t="str">
        <f>IFERROR(__xludf.DUMMYFUNCTION("""COMPUTED_VALUE"""),"MUF")</f>
        <v>MUF</v>
      </c>
      <c r="G24" s="5" t="str">
        <f>IFERROR(__xludf.DUMMYFUNCTION("""COMPUTED_VALUE"""),"○出場")</f>
        <v>○出場</v>
      </c>
      <c r="H24" s="5"/>
      <c r="I24" s="5" t="str">
        <f>IFERROR(__xludf.DUMMYFUNCTION("""COMPUTED_VALUE"""),"○参加する")</f>
        <v>○参加する</v>
      </c>
      <c r="J24" s="5"/>
      <c r="K24" s="12">
        <f t="shared" si="2"/>
        <v>1</v>
      </c>
      <c r="M24" s="2" t="str">
        <f>IFERROR(__xludf.DUMMYFUNCTION("""COMPUTED_VALUE"""),"鈴木遼賀")</f>
        <v>鈴木遼賀</v>
      </c>
      <c r="N24" s="4"/>
      <c r="O24" s="2" t="str">
        <f>IFERROR(__xludf.DUMMYFUNCTION("""COMPUTED_VALUE"""),"すずきりょうが")</f>
        <v>すずきりょうが</v>
      </c>
      <c r="P24" s="3"/>
      <c r="Q24" s="5" t="str">
        <f>IFERROR(__xludf.DUMMYFUNCTION("""COMPUTED_VALUE"""),"男")</f>
        <v>男</v>
      </c>
      <c r="R24" s="2" t="str">
        <f>IFERROR(__xludf.DUMMYFUNCTION("""COMPUTED_VALUE"""),"○する")</f>
        <v>○する</v>
      </c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>
        <f>IFERROR(__xludf.DUMMYFUNCTION("""COMPUTED_VALUE"""),310112.0)</f>
        <v>310112</v>
      </c>
      <c r="B25" s="5" t="str">
        <f>IFERROR(__xludf.DUMMYFUNCTION("""COMPUTED_VALUE"""),"畠山慶士")</f>
        <v>畠山慶士</v>
      </c>
      <c r="C25" s="5" t="str">
        <f>IFERROR(__xludf.DUMMYFUNCTION("""COMPUTED_VALUE"""),"はたけやまけいと")</f>
        <v>はたけやまけいと</v>
      </c>
      <c r="D25" s="5">
        <f>IFERROR(__xludf.DUMMYFUNCTION("""COMPUTED_VALUE"""),1.0)</f>
        <v>1</v>
      </c>
      <c r="E25" s="5" t="str">
        <f>IFERROR(__xludf.DUMMYFUNCTION("""COMPUTED_VALUE"""),"男")</f>
        <v>男</v>
      </c>
      <c r="F25" s="5" t="str">
        <f>IFERROR(__xludf.DUMMYFUNCTION("""COMPUTED_VALUE"""),"×欠場")</f>
        <v>×欠場</v>
      </c>
      <c r="G25" s="5" t="str">
        <f>IFERROR(__xludf.DUMMYFUNCTION("""COMPUTED_VALUE"""),"×欠場")</f>
        <v>×欠場</v>
      </c>
      <c r="H25" s="5"/>
      <c r="I25" s="5" t="str">
        <f>IFERROR(__xludf.DUMMYFUNCTION("""COMPUTED_VALUE"""),"×参加しない")</f>
        <v>×参加しない</v>
      </c>
      <c r="J25" s="5"/>
      <c r="K25" s="12">
        <f t="shared" si="2"/>
        <v>0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>
        <f>IFERROR(__xludf.DUMMYFUNCTION("""COMPUTED_VALUE"""),310113.0)</f>
        <v>310113</v>
      </c>
      <c r="B26" s="5" t="str">
        <f>IFERROR(__xludf.DUMMYFUNCTION("""COMPUTED_VALUE"""),"村上陽大")</f>
        <v>村上陽大</v>
      </c>
      <c r="C26" s="5" t="str">
        <f>IFERROR(__xludf.DUMMYFUNCTION("""COMPUTED_VALUE"""),"むらかみ　ひなた")</f>
        <v>むらかみ　ひなた</v>
      </c>
      <c r="D26" s="5">
        <f>IFERROR(__xludf.DUMMYFUNCTION("""COMPUTED_VALUE"""),1.0)</f>
        <v>1</v>
      </c>
      <c r="E26" s="5" t="str">
        <f>IFERROR(__xludf.DUMMYFUNCTION("""COMPUTED_VALUE"""),"男")</f>
        <v>男</v>
      </c>
      <c r="F26" s="5" t="str">
        <f>IFERROR(__xludf.DUMMYFUNCTION("""COMPUTED_VALUE"""),"×欠場")</f>
        <v>×欠場</v>
      </c>
      <c r="G26" s="5" t="str">
        <f>IFERROR(__xludf.DUMMYFUNCTION("""COMPUTED_VALUE"""),"×欠場")</f>
        <v>×欠場</v>
      </c>
      <c r="H26" s="5"/>
      <c r="I26" s="5" t="str">
        <f>IFERROR(__xludf.DUMMYFUNCTION("""COMPUTED_VALUE"""),"×参加しない")</f>
        <v>×参加しない</v>
      </c>
      <c r="J26" s="5"/>
      <c r="K26" s="12">
        <f t="shared" si="2"/>
        <v>0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>
        <f>IFERROR(__xludf.DUMMYFUNCTION("""COMPUTED_VALUE"""),310114.0)</f>
        <v>310114</v>
      </c>
      <c r="B27" s="5" t="str">
        <f>IFERROR(__xludf.DUMMYFUNCTION("""COMPUTED_VALUE"""),"横山宗史")</f>
        <v>横山宗史</v>
      </c>
      <c r="C27" s="5" t="str">
        <f>IFERROR(__xludf.DUMMYFUNCTION("""COMPUTED_VALUE"""),"よこやま　そうし")</f>
        <v>よこやま　そうし</v>
      </c>
      <c r="D27" s="5">
        <f>IFERROR(__xludf.DUMMYFUNCTION("""COMPUTED_VALUE"""),1.0)</f>
        <v>1</v>
      </c>
      <c r="E27" s="5" t="str">
        <f>IFERROR(__xludf.DUMMYFUNCTION("""COMPUTED_VALUE"""),"男")</f>
        <v>男</v>
      </c>
      <c r="F27" s="5" t="str">
        <f>IFERROR(__xludf.DUMMYFUNCTION("""COMPUTED_VALUE"""),"×欠場")</f>
        <v>×欠場</v>
      </c>
      <c r="G27" s="5" t="str">
        <f>IFERROR(__xludf.DUMMYFUNCTION("""COMPUTED_VALUE"""),"×欠場")</f>
        <v>×欠場</v>
      </c>
      <c r="H27" s="5"/>
      <c r="I27" s="5" t="str">
        <f>IFERROR(__xludf.DUMMYFUNCTION("""COMPUTED_VALUE"""),"×参加しない")</f>
        <v>×参加しない</v>
      </c>
      <c r="J27" s="5"/>
      <c r="K27" s="12">
        <f t="shared" si="2"/>
        <v>0</v>
      </c>
    </row>
    <row r="28" ht="19.5" customHeight="1">
      <c r="A28" s="5">
        <f>IFERROR(__xludf.DUMMYFUNCTION("""COMPUTED_VALUE"""),310115.0)</f>
        <v>310115</v>
      </c>
      <c r="B28" s="5" t="str">
        <f>IFERROR(__xludf.DUMMYFUNCTION("""COMPUTED_VALUE"""),"近藤未悠")</f>
        <v>近藤未悠</v>
      </c>
      <c r="C28" s="5" t="str">
        <f>IFERROR(__xludf.DUMMYFUNCTION("""COMPUTED_VALUE"""),"こんどう　みゆう")</f>
        <v>こんどう　みゆう</v>
      </c>
      <c r="D28" s="5">
        <f>IFERROR(__xludf.DUMMYFUNCTION("""COMPUTED_VALUE"""),1.0)</f>
        <v>1</v>
      </c>
      <c r="E28" s="5" t="str">
        <f>IFERROR(__xludf.DUMMYFUNCTION("""COMPUTED_VALUE"""),"男")</f>
        <v>男</v>
      </c>
      <c r="F28" s="5" t="str">
        <f>IFERROR(__xludf.DUMMYFUNCTION("""COMPUTED_VALUE"""),"×欠場")</f>
        <v>×欠場</v>
      </c>
      <c r="G28" s="5" t="str">
        <f>IFERROR(__xludf.DUMMYFUNCTION("""COMPUTED_VALUE"""),"×欠場")</f>
        <v>×欠場</v>
      </c>
      <c r="H28" s="5"/>
      <c r="I28" s="5" t="str">
        <f>IFERROR(__xludf.DUMMYFUNCTION("""COMPUTED_VALUE"""),"×参加しない")</f>
        <v>×参加しない</v>
      </c>
      <c r="J28" s="5"/>
      <c r="K28" s="12">
        <f t="shared" si="2"/>
        <v>0</v>
      </c>
    </row>
    <row r="29" ht="19.5" customHeight="1">
      <c r="A29" s="5">
        <f>IFERROR(__xludf.DUMMYFUNCTION("""COMPUTED_VALUE"""),310116.0)</f>
        <v>310116</v>
      </c>
      <c r="B29" s="5" t="str">
        <f>IFERROR(__xludf.DUMMYFUNCTION("""COMPUTED_VALUE"""),"佐々木志温")</f>
        <v>佐々木志温</v>
      </c>
      <c r="C29" s="5" t="str">
        <f>IFERROR(__xludf.DUMMYFUNCTION("""COMPUTED_VALUE"""),"ささき　しおん")</f>
        <v>ささき　しおん</v>
      </c>
      <c r="D29" s="5">
        <f>IFERROR(__xludf.DUMMYFUNCTION("""COMPUTED_VALUE"""),1.0)</f>
        <v>1</v>
      </c>
      <c r="E29" s="5" t="str">
        <f>IFERROR(__xludf.DUMMYFUNCTION("""COMPUTED_VALUE"""),"男")</f>
        <v>男</v>
      </c>
      <c r="F29" s="5" t="str">
        <f>IFERROR(__xludf.DUMMYFUNCTION("""COMPUTED_VALUE"""),"×欠場")</f>
        <v>×欠場</v>
      </c>
      <c r="G29" s="5" t="str">
        <f>IFERROR(__xludf.DUMMYFUNCTION("""COMPUTED_VALUE"""),"×欠場")</f>
        <v>×欠場</v>
      </c>
      <c r="H29" s="5"/>
      <c r="I29" s="5" t="str">
        <f>IFERROR(__xludf.DUMMYFUNCTION("""COMPUTED_VALUE"""),"×参加しない")</f>
        <v>×参加しない</v>
      </c>
      <c r="J29" s="5"/>
      <c r="K29" s="12">
        <f t="shared" si="2"/>
        <v>0</v>
      </c>
    </row>
    <row r="30" ht="19.5" customHeight="1">
      <c r="A30" s="5">
        <f>IFERROR(__xludf.DUMMYFUNCTION("""COMPUTED_VALUE"""),310117.0)</f>
        <v>310117</v>
      </c>
      <c r="B30" s="5" t="str">
        <f>IFERROR(__xludf.DUMMYFUNCTION("""COMPUTED_VALUE"""),"下館拓人")</f>
        <v>下館拓人</v>
      </c>
      <c r="C30" s="5" t="str">
        <f>IFERROR(__xludf.DUMMYFUNCTION("""COMPUTED_VALUE"""),"しもだて　たくと")</f>
        <v>しもだて　たくと</v>
      </c>
      <c r="D30" s="5">
        <f>IFERROR(__xludf.DUMMYFUNCTION("""COMPUTED_VALUE"""),1.0)</f>
        <v>1</v>
      </c>
      <c r="E30" s="5" t="str">
        <f>IFERROR(__xludf.DUMMYFUNCTION("""COMPUTED_VALUE"""),"男")</f>
        <v>男</v>
      </c>
      <c r="F30" s="5" t="str">
        <f>IFERROR(__xludf.DUMMYFUNCTION("""COMPUTED_VALUE"""),"×欠場")</f>
        <v>×欠場</v>
      </c>
      <c r="G30" s="5" t="str">
        <f>IFERROR(__xludf.DUMMYFUNCTION("""COMPUTED_VALUE"""),"×欠場")</f>
        <v>×欠場</v>
      </c>
      <c r="H30" s="5"/>
      <c r="I30" s="5" t="str">
        <f>IFERROR(__xludf.DUMMYFUNCTION("""COMPUTED_VALUE"""),"×参加しない")</f>
        <v>×参加しない</v>
      </c>
      <c r="J30" s="5"/>
      <c r="K30" s="12">
        <f t="shared" si="2"/>
        <v>0</v>
      </c>
    </row>
    <row r="31" ht="19.5" customHeight="1">
      <c r="A31" s="5">
        <f>IFERROR(__xludf.DUMMYFUNCTION("""COMPUTED_VALUE"""),310118.0)</f>
        <v>310118</v>
      </c>
      <c r="B31" s="5" t="str">
        <f>IFERROR(__xludf.DUMMYFUNCTION("""COMPUTED_VALUE"""),"橋場陸人")</f>
        <v>橋場陸人</v>
      </c>
      <c r="C31" s="5" t="str">
        <f>IFERROR(__xludf.DUMMYFUNCTION("""COMPUTED_VALUE"""),"はしば　りくと")</f>
        <v>はしば　りくと</v>
      </c>
      <c r="D31" s="5">
        <f>IFERROR(__xludf.DUMMYFUNCTION("""COMPUTED_VALUE"""),1.0)</f>
        <v>1</v>
      </c>
      <c r="E31" s="5" t="str">
        <f>IFERROR(__xludf.DUMMYFUNCTION("""COMPUTED_VALUE"""),"男")</f>
        <v>男</v>
      </c>
      <c r="F31" s="5" t="str">
        <f>IFERROR(__xludf.DUMMYFUNCTION("""COMPUTED_VALUE"""),"×欠場")</f>
        <v>×欠場</v>
      </c>
      <c r="G31" s="5" t="str">
        <f>IFERROR(__xludf.DUMMYFUNCTION("""COMPUTED_VALUE"""),"×欠場")</f>
        <v>×欠場</v>
      </c>
      <c r="H31" s="5"/>
      <c r="I31" s="5" t="str">
        <f>IFERROR(__xludf.DUMMYFUNCTION("""COMPUTED_VALUE"""),"×参加しない")</f>
        <v>×参加しない</v>
      </c>
      <c r="J31" s="5"/>
      <c r="K31" s="12">
        <f t="shared" si="2"/>
        <v>0</v>
      </c>
    </row>
    <row r="32" ht="19.5" customHeight="1">
      <c r="A32" s="5">
        <f>IFERROR(__xludf.DUMMYFUNCTION("""COMPUTED_VALUE"""),310119.0)</f>
        <v>310119</v>
      </c>
      <c r="B32" s="5" t="str">
        <f>IFERROR(__xludf.DUMMYFUNCTION("""COMPUTED_VALUE"""),"吹上雄琉")</f>
        <v>吹上雄琉</v>
      </c>
      <c r="C32" s="5" t="str">
        <f>IFERROR(__xludf.DUMMYFUNCTION("""COMPUTED_VALUE"""),"ふきあげ　たける")</f>
        <v>ふきあげ　たける</v>
      </c>
      <c r="D32" s="5">
        <f>IFERROR(__xludf.DUMMYFUNCTION("""COMPUTED_VALUE"""),1.0)</f>
        <v>1</v>
      </c>
      <c r="E32" s="5" t="str">
        <f>IFERROR(__xludf.DUMMYFUNCTION("""COMPUTED_VALUE"""),"男")</f>
        <v>男</v>
      </c>
      <c r="F32" s="5" t="str">
        <f>IFERROR(__xludf.DUMMYFUNCTION("""COMPUTED_VALUE"""),"×欠場")</f>
        <v>×欠場</v>
      </c>
      <c r="G32" s="5" t="str">
        <f>IFERROR(__xludf.DUMMYFUNCTION("""COMPUTED_VALUE"""),"×欠場")</f>
        <v>×欠場</v>
      </c>
      <c r="H32" s="5"/>
      <c r="I32" s="5" t="str">
        <f>IFERROR(__xludf.DUMMYFUNCTION("""COMPUTED_VALUE"""),"×参加しない")</f>
        <v>×参加しない</v>
      </c>
      <c r="J32" s="5"/>
      <c r="K32" s="12">
        <f t="shared" si="2"/>
        <v>0</v>
      </c>
    </row>
    <row r="33" ht="19.5" customHeight="1">
      <c r="A33" s="5">
        <f>IFERROR(__xludf.DUMMYFUNCTION("""COMPUTED_VALUE"""),310120.0)</f>
        <v>310120</v>
      </c>
      <c r="B33" s="5" t="str">
        <f>IFERROR(__xludf.DUMMYFUNCTION("""COMPUTED_VALUE"""),"福原悠")</f>
        <v>福原悠</v>
      </c>
      <c r="C33" s="5" t="str">
        <f>IFERROR(__xludf.DUMMYFUNCTION("""COMPUTED_VALUE"""),"ふくはら　ゆう")</f>
        <v>ふくはら　ゆう</v>
      </c>
      <c r="D33" s="5">
        <f>IFERROR(__xludf.DUMMYFUNCTION("""COMPUTED_VALUE"""),1.0)</f>
        <v>1</v>
      </c>
      <c r="E33" s="5" t="str">
        <f>IFERROR(__xludf.DUMMYFUNCTION("""COMPUTED_VALUE"""),"男")</f>
        <v>男</v>
      </c>
      <c r="F33" s="5" t="str">
        <f>IFERROR(__xludf.DUMMYFUNCTION("""COMPUTED_VALUE"""),"×欠場")</f>
        <v>×欠場</v>
      </c>
      <c r="G33" s="5" t="str">
        <f>IFERROR(__xludf.DUMMYFUNCTION("""COMPUTED_VALUE"""),"×欠場")</f>
        <v>×欠場</v>
      </c>
      <c r="H33" s="5"/>
      <c r="I33" s="5" t="str">
        <f>IFERROR(__xludf.DUMMYFUNCTION("""COMPUTED_VALUE"""),"×参加しない")</f>
        <v>×参加しない</v>
      </c>
      <c r="J33" s="5"/>
      <c r="K33" s="12">
        <f t="shared" si="2"/>
        <v>0</v>
      </c>
    </row>
    <row r="34" ht="19.5" customHeight="1">
      <c r="A34" s="5">
        <f>IFERROR(__xludf.DUMMYFUNCTION("""COMPUTED_VALUE"""),310121.0)</f>
        <v>310121</v>
      </c>
      <c r="B34" s="5" t="str">
        <f>IFERROR(__xludf.DUMMYFUNCTION("""COMPUTED_VALUE"""),"細川本気")</f>
        <v>細川本気</v>
      </c>
      <c r="C34" s="5" t="str">
        <f>IFERROR(__xludf.DUMMYFUNCTION("""COMPUTED_VALUE"""),"ほそかわ　もとき")</f>
        <v>ほそかわ　もとき</v>
      </c>
      <c r="D34" s="5">
        <f>IFERROR(__xludf.DUMMYFUNCTION("""COMPUTED_VALUE"""),1.0)</f>
        <v>1</v>
      </c>
      <c r="E34" s="5" t="str">
        <f>IFERROR(__xludf.DUMMYFUNCTION("""COMPUTED_VALUE"""),"男")</f>
        <v>男</v>
      </c>
      <c r="F34" s="5" t="str">
        <f>IFERROR(__xludf.DUMMYFUNCTION("""COMPUTED_VALUE"""),"×欠場")</f>
        <v>×欠場</v>
      </c>
      <c r="G34" s="5" t="str">
        <f>IFERROR(__xludf.DUMMYFUNCTION("""COMPUTED_VALUE"""),"×欠場")</f>
        <v>×欠場</v>
      </c>
      <c r="H34" s="5"/>
      <c r="I34" s="5" t="str">
        <f>IFERROR(__xludf.DUMMYFUNCTION("""COMPUTED_VALUE"""),"×参加しない")</f>
        <v>×参加しない</v>
      </c>
      <c r="J34" s="5"/>
      <c r="K34" s="12">
        <f t="shared" si="2"/>
        <v>0</v>
      </c>
    </row>
    <row r="35" ht="19.5" customHeight="1">
      <c r="A35" s="5">
        <f>IFERROR(__xludf.DUMMYFUNCTION("""COMPUTED_VALUE"""),210101.0)</f>
        <v>210101</v>
      </c>
      <c r="B35" s="5" t="str">
        <f>IFERROR(__xludf.DUMMYFUNCTION("""COMPUTED_VALUE"""),"筒井咲月")</f>
        <v>筒井咲月</v>
      </c>
      <c r="C35" s="5" t="str">
        <f>IFERROR(__xludf.DUMMYFUNCTION("""COMPUTED_VALUE"""),"つついさつき")</f>
        <v>つついさつき</v>
      </c>
      <c r="D35" s="5">
        <f>IFERROR(__xludf.DUMMYFUNCTION("""COMPUTED_VALUE"""),2.0)</f>
        <v>2</v>
      </c>
      <c r="E35" s="5" t="str">
        <f>IFERROR(__xludf.DUMMYFUNCTION("""COMPUTED_VALUE"""),"女")</f>
        <v>女</v>
      </c>
      <c r="F35" s="5" t="str">
        <f>IFERROR(__xludf.DUMMYFUNCTION("""COMPUTED_VALUE"""),"×欠場")</f>
        <v>×欠場</v>
      </c>
      <c r="G35" s="5" t="str">
        <f>IFERROR(__xludf.DUMMYFUNCTION("""COMPUTED_VALUE"""),"×欠場")</f>
        <v>×欠場</v>
      </c>
      <c r="H35" s="5"/>
      <c r="I35" s="5" t="str">
        <f>IFERROR(__xludf.DUMMYFUNCTION("""COMPUTED_VALUE"""),"×参加しない")</f>
        <v>×参加しない</v>
      </c>
      <c r="J35" s="5"/>
      <c r="K35" s="12">
        <f t="shared" si="2"/>
        <v>0</v>
      </c>
    </row>
    <row r="36" ht="19.5" customHeight="1">
      <c r="A36" s="5">
        <f>IFERROR(__xludf.DUMMYFUNCTION("""COMPUTED_VALUE"""),210104.0)</f>
        <v>210104</v>
      </c>
      <c r="B36" s="5" t="str">
        <f>IFERROR(__xludf.DUMMYFUNCTION("""COMPUTED_VALUE"""),"上屋敷蒼太")</f>
        <v>上屋敷蒼太</v>
      </c>
      <c r="C36" s="5" t="str">
        <f>IFERROR(__xludf.DUMMYFUNCTION("""COMPUTED_VALUE"""),"かみやしきそうた")</f>
        <v>かみやしきそうた</v>
      </c>
      <c r="D36" s="5">
        <f>IFERROR(__xludf.DUMMYFUNCTION("""COMPUTED_VALUE"""),2.0)</f>
        <v>2</v>
      </c>
      <c r="E36" s="5" t="str">
        <f>IFERROR(__xludf.DUMMYFUNCTION("""COMPUTED_VALUE"""),"男")</f>
        <v>男</v>
      </c>
      <c r="F36" s="5" t="str">
        <f>IFERROR(__xludf.DUMMYFUNCTION("""COMPUTED_VALUE"""),"×欠場")</f>
        <v>×欠場</v>
      </c>
      <c r="G36" s="5" t="str">
        <f>IFERROR(__xludf.DUMMYFUNCTION("""COMPUTED_VALUE"""),"×欠場")</f>
        <v>×欠場</v>
      </c>
      <c r="H36" s="5"/>
      <c r="I36" s="5" t="str">
        <f>IFERROR(__xludf.DUMMYFUNCTION("""COMPUTED_VALUE"""),"×参加しない")</f>
        <v>×参加しない</v>
      </c>
      <c r="J36" s="5"/>
      <c r="K36" s="12">
        <f t="shared" si="2"/>
        <v>0</v>
      </c>
    </row>
    <row r="37" ht="19.5" customHeight="1">
      <c r="A37" s="5">
        <f>IFERROR(__xludf.DUMMYFUNCTION("""COMPUTED_VALUE"""),210108.0)</f>
        <v>210108</v>
      </c>
      <c r="B37" s="5" t="str">
        <f>IFERROR(__xludf.DUMMYFUNCTION("""COMPUTED_VALUE"""),"前田柊")</f>
        <v>前田柊</v>
      </c>
      <c r="C37" s="5" t="str">
        <f>IFERROR(__xludf.DUMMYFUNCTION("""COMPUTED_VALUE"""),"まえたしゅう")</f>
        <v>まえたしゅう</v>
      </c>
      <c r="D37" s="5">
        <f>IFERROR(__xludf.DUMMYFUNCTION("""COMPUTED_VALUE"""),2.0)</f>
        <v>2</v>
      </c>
      <c r="E37" s="5" t="str">
        <f>IFERROR(__xludf.DUMMYFUNCTION("""COMPUTED_VALUE"""),"男")</f>
        <v>男</v>
      </c>
      <c r="F37" s="5" t="str">
        <f>IFERROR(__xludf.DUMMYFUNCTION("""COMPUTED_VALUE"""),"×欠場")</f>
        <v>×欠場</v>
      </c>
      <c r="G37" s="5" t="str">
        <f>IFERROR(__xludf.DUMMYFUNCTION("""COMPUTED_VALUE"""),"×欠場")</f>
        <v>×欠場</v>
      </c>
      <c r="H37" s="5"/>
      <c r="I37" s="5" t="str">
        <f>IFERROR(__xludf.DUMMYFUNCTION("""COMPUTED_VALUE"""),"×参加しない")</f>
        <v>×参加しない</v>
      </c>
      <c r="J37" s="5"/>
      <c r="K37" s="12">
        <f t="shared" si="2"/>
        <v>0</v>
      </c>
    </row>
    <row r="38" ht="19.5" customHeight="1">
      <c r="A38" s="5">
        <f>IFERROR(__xludf.DUMMYFUNCTION("""COMPUTED_VALUE"""),210109.0)</f>
        <v>210109</v>
      </c>
      <c r="B38" s="5" t="str">
        <f>IFERROR(__xludf.DUMMYFUNCTION("""COMPUTED_VALUE"""),"小池紗羅")</f>
        <v>小池紗羅</v>
      </c>
      <c r="C38" s="5" t="str">
        <f>IFERROR(__xludf.DUMMYFUNCTION("""COMPUTED_VALUE"""),"こいけさら")</f>
        <v>こいけさら</v>
      </c>
      <c r="D38" s="5">
        <f>IFERROR(__xludf.DUMMYFUNCTION("""COMPUTED_VALUE"""),2.0)</f>
        <v>2</v>
      </c>
      <c r="E38" s="5" t="str">
        <f>IFERROR(__xludf.DUMMYFUNCTION("""COMPUTED_VALUE"""),"女")</f>
        <v>女</v>
      </c>
      <c r="F38" s="5" t="str">
        <f>IFERROR(__xludf.DUMMYFUNCTION("""COMPUTED_VALUE"""),"×欠場")</f>
        <v>×欠場</v>
      </c>
      <c r="G38" s="5" t="str">
        <f>IFERROR(__xludf.DUMMYFUNCTION("""COMPUTED_VALUE"""),"×欠場")</f>
        <v>×欠場</v>
      </c>
      <c r="H38" s="5"/>
      <c r="I38" s="5" t="str">
        <f>IFERROR(__xludf.DUMMYFUNCTION("""COMPUTED_VALUE"""),"×参加しない")</f>
        <v>×参加しない</v>
      </c>
      <c r="J38" s="5"/>
      <c r="K38" s="12">
        <f t="shared" si="2"/>
        <v>0</v>
      </c>
    </row>
    <row r="39" ht="19.5" customHeight="1">
      <c r="A39" s="5">
        <f>IFERROR(__xludf.DUMMYFUNCTION("""COMPUTED_VALUE"""),210113.0)</f>
        <v>210113</v>
      </c>
      <c r="B39" s="5" t="str">
        <f>IFERROR(__xludf.DUMMYFUNCTION("""COMPUTED_VALUE"""),"林田夏波")</f>
        <v>林田夏波</v>
      </c>
      <c r="C39" s="5" t="str">
        <f>IFERROR(__xludf.DUMMYFUNCTION("""COMPUTED_VALUE"""),"はやしだななみ")</f>
        <v>はやしだななみ</v>
      </c>
      <c r="D39" s="5">
        <f>IFERROR(__xludf.DUMMYFUNCTION("""COMPUTED_VALUE"""),2.0)</f>
        <v>2</v>
      </c>
      <c r="E39" s="5" t="str">
        <f>IFERROR(__xludf.DUMMYFUNCTION("""COMPUTED_VALUE"""),"女")</f>
        <v>女</v>
      </c>
      <c r="F39" s="5" t="str">
        <f>IFERROR(__xludf.DUMMYFUNCTION("""COMPUTED_VALUE"""),"×欠場")</f>
        <v>×欠場</v>
      </c>
      <c r="G39" s="5" t="str">
        <f>IFERROR(__xludf.DUMMYFUNCTION("""COMPUTED_VALUE"""),"×欠場")</f>
        <v>×欠場</v>
      </c>
      <c r="H39" s="5"/>
      <c r="I39" s="5" t="str">
        <f>IFERROR(__xludf.DUMMYFUNCTION("""COMPUTED_VALUE"""),"×参加しない")</f>
        <v>×参加しない</v>
      </c>
      <c r="J39" s="5"/>
      <c r="K39" s="12">
        <f t="shared" si="2"/>
        <v>0</v>
      </c>
    </row>
    <row r="40" ht="19.5" customHeight="1">
      <c r="A40" s="5">
        <f>IFERROR(__xludf.DUMMYFUNCTION("""COMPUTED_VALUE"""),210114.0)</f>
        <v>210114</v>
      </c>
      <c r="B40" s="5" t="str">
        <f>IFERROR(__xludf.DUMMYFUNCTION("""COMPUTED_VALUE"""),"土田菜央")</f>
        <v>土田菜央</v>
      </c>
      <c r="C40" s="5" t="str">
        <f>IFERROR(__xludf.DUMMYFUNCTION("""COMPUTED_VALUE"""),"つちだなお")</f>
        <v>つちだなお</v>
      </c>
      <c r="D40" s="5">
        <f>IFERROR(__xludf.DUMMYFUNCTION("""COMPUTED_VALUE"""),2.0)</f>
        <v>2</v>
      </c>
      <c r="E40" s="5" t="str">
        <f>IFERROR(__xludf.DUMMYFUNCTION("""COMPUTED_VALUE"""),"女")</f>
        <v>女</v>
      </c>
      <c r="F40" s="5" t="str">
        <f>IFERROR(__xludf.DUMMYFUNCTION("""COMPUTED_VALUE"""),"×欠場")</f>
        <v>×欠場</v>
      </c>
      <c r="G40" s="5" t="str">
        <f>IFERROR(__xludf.DUMMYFUNCTION("""COMPUTED_VALUE"""),"×欠場")</f>
        <v>×欠場</v>
      </c>
      <c r="H40" s="5"/>
      <c r="I40" s="5" t="str">
        <f>IFERROR(__xludf.DUMMYFUNCTION("""COMPUTED_VALUE"""),"×参加しない")</f>
        <v>×参加しない</v>
      </c>
      <c r="J40" s="5"/>
      <c r="K40" s="12">
        <f t="shared" si="2"/>
        <v>0</v>
      </c>
    </row>
    <row r="41" ht="19.5" customHeight="1">
      <c r="A41" s="5">
        <f>IFERROR(__xludf.DUMMYFUNCTION("""COMPUTED_VALUE"""),210115.0)</f>
        <v>210115</v>
      </c>
      <c r="B41" s="5" t="str">
        <f>IFERROR(__xludf.DUMMYFUNCTION("""COMPUTED_VALUE"""),"飯塚楓野")</f>
        <v>飯塚楓野</v>
      </c>
      <c r="C41" s="5" t="str">
        <f>IFERROR(__xludf.DUMMYFUNCTION("""COMPUTED_VALUE"""),"いいづかふうの")</f>
        <v>いいづかふうの</v>
      </c>
      <c r="D41" s="5">
        <f>IFERROR(__xludf.DUMMYFUNCTION("""COMPUTED_VALUE"""),2.0)</f>
        <v>2</v>
      </c>
      <c r="E41" s="5" t="str">
        <f>IFERROR(__xludf.DUMMYFUNCTION("""COMPUTED_VALUE"""),"女")</f>
        <v>女</v>
      </c>
      <c r="F41" s="5" t="str">
        <f>IFERROR(__xludf.DUMMYFUNCTION("""COMPUTED_VALUE"""),"×欠場")</f>
        <v>×欠場</v>
      </c>
      <c r="G41" s="5" t="str">
        <f>IFERROR(__xludf.DUMMYFUNCTION("""COMPUTED_VALUE"""),"×欠場")</f>
        <v>×欠場</v>
      </c>
      <c r="H41" s="5"/>
      <c r="I41" s="5" t="str">
        <f>IFERROR(__xludf.DUMMYFUNCTION("""COMPUTED_VALUE"""),"×参加しない")</f>
        <v>×参加しない</v>
      </c>
      <c r="J41" s="5"/>
      <c r="K41" s="12">
        <f t="shared" si="2"/>
        <v>0</v>
      </c>
    </row>
    <row r="42" ht="19.5" customHeight="1">
      <c r="A42" s="5">
        <f>IFERROR(__xludf.DUMMYFUNCTION("""COMPUTED_VALUE"""),210118.0)</f>
        <v>210118</v>
      </c>
      <c r="B42" s="5" t="str">
        <f>IFERROR(__xludf.DUMMYFUNCTION("""COMPUTED_VALUE"""),"山下和歌子")</f>
        <v>山下和歌子</v>
      </c>
      <c r="C42" s="5" t="str">
        <f>IFERROR(__xludf.DUMMYFUNCTION("""COMPUTED_VALUE"""),"やましたわかこ")</f>
        <v>やましたわかこ</v>
      </c>
      <c r="D42" s="5">
        <f>IFERROR(__xludf.DUMMYFUNCTION("""COMPUTED_VALUE"""),2.0)</f>
        <v>2</v>
      </c>
      <c r="E42" s="5" t="str">
        <f>IFERROR(__xludf.DUMMYFUNCTION("""COMPUTED_VALUE"""),"女")</f>
        <v>女</v>
      </c>
      <c r="F42" s="5" t="str">
        <f>IFERROR(__xludf.DUMMYFUNCTION("""COMPUTED_VALUE"""),"WUB")</f>
        <v>WUB</v>
      </c>
      <c r="G42" s="5" t="str">
        <f>IFERROR(__xludf.DUMMYFUNCTION("""COMPUTED_VALUE"""),"○出場")</f>
        <v>○出場</v>
      </c>
      <c r="H42" s="5"/>
      <c r="I42" s="5" t="str">
        <f>IFERROR(__xludf.DUMMYFUNCTION("""COMPUTED_VALUE"""),"○参加する")</f>
        <v>○参加する</v>
      </c>
      <c r="J42" s="5"/>
      <c r="K42" s="12">
        <f t="shared" si="2"/>
        <v>1</v>
      </c>
    </row>
    <row r="43" ht="19.5" customHeight="1">
      <c r="A43" s="5">
        <f>IFERROR(__xludf.DUMMYFUNCTION("""COMPUTED_VALUE"""),110102.0)</f>
        <v>110102</v>
      </c>
      <c r="B43" s="5" t="str">
        <f>IFERROR(__xludf.DUMMYFUNCTION("""COMPUTED_VALUE"""),"山口瑠奈")</f>
        <v>山口瑠奈</v>
      </c>
      <c r="C43" s="5" t="str">
        <f>IFERROR(__xludf.DUMMYFUNCTION("""COMPUTED_VALUE"""),"やまぐちるな")</f>
        <v>やまぐちるな</v>
      </c>
      <c r="D43" s="5">
        <f>IFERROR(__xludf.DUMMYFUNCTION("""COMPUTED_VALUE"""),3.0)</f>
        <v>3</v>
      </c>
      <c r="E43" s="5" t="str">
        <f>IFERROR(__xludf.DUMMYFUNCTION("""COMPUTED_VALUE"""),"女")</f>
        <v>女</v>
      </c>
      <c r="F43" s="5" t="str">
        <f>IFERROR(__xludf.DUMMYFUNCTION("""COMPUTED_VALUE"""),"×欠場")</f>
        <v>×欠場</v>
      </c>
      <c r="G43" s="5" t="str">
        <f>IFERROR(__xludf.DUMMYFUNCTION("""COMPUTED_VALUE"""),"×欠場")</f>
        <v>×欠場</v>
      </c>
      <c r="H43" s="5"/>
      <c r="I43" s="5" t="str">
        <f>IFERROR(__xludf.DUMMYFUNCTION("""COMPUTED_VALUE"""),"×参加しない")</f>
        <v>×参加しない</v>
      </c>
      <c r="J43" s="5"/>
      <c r="K43" s="12">
        <f t="shared" si="2"/>
        <v>0</v>
      </c>
    </row>
    <row r="44" ht="19.5" customHeight="1">
      <c r="A44" s="5">
        <f>IFERROR(__xludf.DUMMYFUNCTION("""COMPUTED_VALUE"""),110106.0)</f>
        <v>110106</v>
      </c>
      <c r="B44" s="5" t="str">
        <f>IFERROR(__xludf.DUMMYFUNCTION("""COMPUTED_VALUE"""),"白戸柚名")</f>
        <v>白戸柚名</v>
      </c>
      <c r="C44" s="5" t="str">
        <f>IFERROR(__xludf.DUMMYFUNCTION("""COMPUTED_VALUE"""),"しらとゆうな")</f>
        <v>しらとゆうな</v>
      </c>
      <c r="D44" s="5">
        <f>IFERROR(__xludf.DUMMYFUNCTION("""COMPUTED_VALUE"""),3.0)</f>
        <v>3</v>
      </c>
      <c r="E44" s="5" t="str">
        <f>IFERROR(__xludf.DUMMYFUNCTION("""COMPUTED_VALUE"""),"女")</f>
        <v>女</v>
      </c>
      <c r="F44" s="5" t="str">
        <f>IFERROR(__xludf.DUMMYFUNCTION("""COMPUTED_VALUE"""),"WUA")</f>
        <v>WUA</v>
      </c>
      <c r="G44" s="5" t="str">
        <f>IFERROR(__xludf.DUMMYFUNCTION("""COMPUTED_VALUE"""),"○出場")</f>
        <v>○出場</v>
      </c>
      <c r="H44" s="5"/>
      <c r="I44" s="5" t="str">
        <f>IFERROR(__xludf.DUMMYFUNCTION("""COMPUTED_VALUE"""),"○参加する")</f>
        <v>○参加する</v>
      </c>
      <c r="J44" s="5"/>
      <c r="K44" s="12">
        <f t="shared" si="2"/>
        <v>1</v>
      </c>
    </row>
    <row r="45" ht="19.5" customHeight="1">
      <c r="A45" s="5">
        <f>IFERROR(__xludf.DUMMYFUNCTION("""COMPUTED_VALUE"""),110111.0)</f>
        <v>110111</v>
      </c>
      <c r="B45" s="5" t="str">
        <f>IFERROR(__xludf.DUMMYFUNCTION("""COMPUTED_VALUE"""),"今晴香")</f>
        <v>今晴香</v>
      </c>
      <c r="C45" s="5" t="str">
        <f>IFERROR(__xludf.DUMMYFUNCTION("""COMPUTED_VALUE"""),"こんはるか")</f>
        <v>こんはるか</v>
      </c>
      <c r="D45" s="5">
        <f>IFERROR(__xludf.DUMMYFUNCTION("""COMPUTED_VALUE"""),3.0)</f>
        <v>3</v>
      </c>
      <c r="E45" s="5" t="str">
        <f>IFERROR(__xludf.DUMMYFUNCTION("""COMPUTED_VALUE"""),"女")</f>
        <v>女</v>
      </c>
      <c r="F45" s="5" t="str">
        <f>IFERROR(__xludf.DUMMYFUNCTION("""COMPUTED_VALUE"""),"×欠場")</f>
        <v>×欠場</v>
      </c>
      <c r="G45" s="5" t="str">
        <f>IFERROR(__xludf.DUMMYFUNCTION("""COMPUTED_VALUE"""),"×欠場")</f>
        <v>×欠場</v>
      </c>
      <c r="H45" s="5"/>
      <c r="I45" s="5" t="str">
        <f>IFERROR(__xludf.DUMMYFUNCTION("""COMPUTED_VALUE"""),"×参加しない")</f>
        <v>×参加しない</v>
      </c>
      <c r="J45" s="5"/>
      <c r="K45" s="12">
        <f t="shared" si="2"/>
        <v>0</v>
      </c>
    </row>
    <row r="46" ht="19.5" customHeight="1">
      <c r="A46" s="5">
        <f>IFERROR(__xludf.DUMMYFUNCTION("""COMPUTED_VALUE"""),110112.0)</f>
        <v>110112</v>
      </c>
      <c r="B46" s="5" t="str">
        <f>IFERROR(__xludf.DUMMYFUNCTION("""COMPUTED_VALUE"""),"笹村和加")</f>
        <v>笹村和加</v>
      </c>
      <c r="C46" s="5" t="str">
        <f>IFERROR(__xludf.DUMMYFUNCTION("""COMPUTED_VALUE"""),"ささむらのどか")</f>
        <v>ささむらのどか</v>
      </c>
      <c r="D46" s="5">
        <f>IFERROR(__xludf.DUMMYFUNCTION("""COMPUTED_VALUE"""),3.0)</f>
        <v>3</v>
      </c>
      <c r="E46" s="5" t="str">
        <f>IFERROR(__xludf.DUMMYFUNCTION("""COMPUTED_VALUE"""),"女")</f>
        <v>女</v>
      </c>
      <c r="F46" s="5" t="str">
        <f>IFERROR(__xludf.DUMMYFUNCTION("""COMPUTED_VALUE"""),"×欠場")</f>
        <v>×欠場</v>
      </c>
      <c r="G46" s="5" t="str">
        <f>IFERROR(__xludf.DUMMYFUNCTION("""COMPUTED_VALUE"""),"×欠場")</f>
        <v>×欠場</v>
      </c>
      <c r="H46" s="5"/>
      <c r="I46" s="5" t="str">
        <f>IFERROR(__xludf.DUMMYFUNCTION("""COMPUTED_VALUE"""),"×参加しない")</f>
        <v>×参加しない</v>
      </c>
      <c r="J46" s="5"/>
      <c r="K46" s="12">
        <f t="shared" si="2"/>
        <v>0</v>
      </c>
    </row>
    <row r="47" ht="19.5" customHeight="1">
      <c r="A47" s="5">
        <f>IFERROR(__xludf.DUMMYFUNCTION("""COMPUTED_VALUE"""),110113.0)</f>
        <v>110113</v>
      </c>
      <c r="B47" s="5" t="str">
        <f>IFERROR(__xludf.DUMMYFUNCTION("""COMPUTED_VALUE"""),"高橋光")</f>
        <v>高橋光</v>
      </c>
      <c r="C47" s="5" t="str">
        <f>IFERROR(__xludf.DUMMYFUNCTION("""COMPUTED_VALUE"""),"たかはしひかる")</f>
        <v>たかはしひかる</v>
      </c>
      <c r="D47" s="5">
        <f>IFERROR(__xludf.DUMMYFUNCTION("""COMPUTED_VALUE"""),3.0)</f>
        <v>3</v>
      </c>
      <c r="E47" s="5" t="str">
        <f>IFERROR(__xludf.DUMMYFUNCTION("""COMPUTED_VALUE"""),"男")</f>
        <v>男</v>
      </c>
      <c r="F47" s="5" t="str">
        <f>IFERROR(__xludf.DUMMYFUNCTION("""COMPUTED_VALUE"""),"×欠場")</f>
        <v>×欠場</v>
      </c>
      <c r="G47" s="5" t="str">
        <f>IFERROR(__xludf.DUMMYFUNCTION("""COMPUTED_VALUE"""),"×欠場")</f>
        <v>×欠場</v>
      </c>
      <c r="H47" s="5"/>
      <c r="I47" s="5" t="str">
        <f>IFERROR(__xludf.DUMMYFUNCTION("""COMPUTED_VALUE"""),"×参加しない")</f>
        <v>×参加しない</v>
      </c>
      <c r="J47" s="5"/>
      <c r="K47" s="12">
        <f t="shared" si="2"/>
        <v>0</v>
      </c>
    </row>
    <row r="48" ht="19.5" customHeight="1">
      <c r="A48" s="5">
        <f>IFERROR(__xludf.DUMMYFUNCTION("""COMPUTED_VALUE"""),110114.0)</f>
        <v>110114</v>
      </c>
      <c r="B48" s="5" t="str">
        <f>IFERROR(__xludf.DUMMYFUNCTION("""COMPUTED_VALUE"""),"佐々木晴菜")</f>
        <v>佐々木晴菜</v>
      </c>
      <c r="C48" s="5" t="str">
        <f>IFERROR(__xludf.DUMMYFUNCTION("""COMPUTED_VALUE"""),"ささきはるな")</f>
        <v>ささきはるな</v>
      </c>
      <c r="D48" s="5">
        <f>IFERROR(__xludf.DUMMYFUNCTION("""COMPUTED_VALUE"""),3.0)</f>
        <v>3</v>
      </c>
      <c r="E48" s="5" t="str">
        <f>IFERROR(__xludf.DUMMYFUNCTION("""COMPUTED_VALUE"""),"女")</f>
        <v>女</v>
      </c>
      <c r="F48" s="5" t="str">
        <f>IFERROR(__xludf.DUMMYFUNCTION("""COMPUTED_VALUE"""),"×欠場")</f>
        <v>×欠場</v>
      </c>
      <c r="G48" s="5" t="str">
        <f>IFERROR(__xludf.DUMMYFUNCTION("""COMPUTED_VALUE"""),"×欠場")</f>
        <v>×欠場</v>
      </c>
      <c r="H48" s="5"/>
      <c r="I48" s="5" t="str">
        <f>IFERROR(__xludf.DUMMYFUNCTION("""COMPUTED_VALUE"""),"×参加しない")</f>
        <v>×参加しない</v>
      </c>
      <c r="J48" s="5"/>
      <c r="K48" s="12">
        <f t="shared" si="2"/>
        <v>0</v>
      </c>
    </row>
    <row r="49" ht="19.5" customHeight="1">
      <c r="A49" s="5">
        <f>IFERROR(__xludf.DUMMYFUNCTION("""COMPUTED_VALUE"""),110115.0)</f>
        <v>110115</v>
      </c>
      <c r="B49" s="5" t="str">
        <f>IFERROR(__xludf.DUMMYFUNCTION("""COMPUTED_VALUE"""),"山田一聡")</f>
        <v>山田一聡</v>
      </c>
      <c r="C49" s="5" t="str">
        <f>IFERROR(__xludf.DUMMYFUNCTION("""COMPUTED_VALUE"""),"やまだいっそう")</f>
        <v>やまだいっそう</v>
      </c>
      <c r="D49" s="5">
        <f>IFERROR(__xludf.DUMMYFUNCTION("""COMPUTED_VALUE"""),3.0)</f>
        <v>3</v>
      </c>
      <c r="E49" s="5" t="str">
        <f>IFERROR(__xludf.DUMMYFUNCTION("""COMPUTED_VALUE"""),"男")</f>
        <v>男</v>
      </c>
      <c r="F49" s="5" t="str">
        <f>IFERROR(__xludf.DUMMYFUNCTION("""COMPUTED_VALUE"""),"MUA")</f>
        <v>MUA</v>
      </c>
      <c r="G49" s="5" t="str">
        <f>IFERROR(__xludf.DUMMYFUNCTION("""COMPUTED_VALUE"""),"○出場")</f>
        <v>○出場</v>
      </c>
      <c r="H49" s="5"/>
      <c r="I49" s="5" t="str">
        <f>IFERROR(__xludf.DUMMYFUNCTION("""COMPUTED_VALUE"""),"○参加する")</f>
        <v>○参加する</v>
      </c>
      <c r="J49" s="5"/>
      <c r="K49" s="12">
        <f t="shared" si="2"/>
        <v>1</v>
      </c>
    </row>
    <row r="50" ht="19.5" customHeight="1">
      <c r="A50" s="5">
        <f>IFERROR(__xludf.DUMMYFUNCTION("""COMPUTED_VALUE"""),110117.0)</f>
        <v>110117</v>
      </c>
      <c r="B50" s="5" t="str">
        <f>IFERROR(__xludf.DUMMYFUNCTION("""COMPUTED_VALUE"""),"松木大知")</f>
        <v>松木大知</v>
      </c>
      <c r="C50" s="5" t="str">
        <f>IFERROR(__xludf.DUMMYFUNCTION("""COMPUTED_VALUE"""),"まつきだいち")</f>
        <v>まつきだいち</v>
      </c>
      <c r="D50" s="5">
        <f>IFERROR(__xludf.DUMMYFUNCTION("""COMPUTED_VALUE"""),3.0)</f>
        <v>3</v>
      </c>
      <c r="E50" s="5" t="str">
        <f>IFERROR(__xludf.DUMMYFUNCTION("""COMPUTED_VALUE"""),"男")</f>
        <v>男</v>
      </c>
      <c r="F50" s="5" t="str">
        <f>IFERROR(__xludf.DUMMYFUNCTION("""COMPUTED_VALUE"""),"×欠場")</f>
        <v>×欠場</v>
      </c>
      <c r="G50" s="5" t="str">
        <f>IFERROR(__xludf.DUMMYFUNCTION("""COMPUTED_VALUE"""),"×欠場")</f>
        <v>×欠場</v>
      </c>
      <c r="H50" s="5"/>
      <c r="I50" s="5" t="str">
        <f>IFERROR(__xludf.DUMMYFUNCTION("""COMPUTED_VALUE"""),"×参加しない")</f>
        <v>×参加しない</v>
      </c>
      <c r="J50" s="5"/>
      <c r="K50" s="12">
        <f t="shared" si="2"/>
        <v>0</v>
      </c>
    </row>
    <row r="51" ht="19.5" customHeight="1">
      <c r="A51" s="5">
        <f>IFERROR(__xludf.DUMMYFUNCTION("""COMPUTED_VALUE"""),10101.0)</f>
        <v>10101</v>
      </c>
      <c r="B51" s="5" t="str">
        <f>IFERROR(__xludf.DUMMYFUNCTION("""COMPUTED_VALUE"""),"山田 凌平")</f>
        <v>山田 凌平</v>
      </c>
      <c r="C51" s="5" t="str">
        <f>IFERROR(__xludf.DUMMYFUNCTION("""COMPUTED_VALUE"""),"やまだ りょうへい")</f>
        <v>やまだ りょうへい</v>
      </c>
      <c r="D51" s="5">
        <f>IFERROR(__xludf.DUMMYFUNCTION("""COMPUTED_VALUE"""),4.0)</f>
        <v>4</v>
      </c>
      <c r="E51" s="5" t="str">
        <f>IFERROR(__xludf.DUMMYFUNCTION("""COMPUTED_VALUE"""),"男")</f>
        <v>男</v>
      </c>
      <c r="F51" s="5" t="str">
        <f>IFERROR(__xludf.DUMMYFUNCTION("""COMPUTED_VALUE"""),"×欠場")</f>
        <v>×欠場</v>
      </c>
      <c r="G51" s="5" t="str">
        <f>IFERROR(__xludf.DUMMYFUNCTION("""COMPUTED_VALUE"""),"×欠場")</f>
        <v>×欠場</v>
      </c>
      <c r="H51" s="5"/>
      <c r="I51" s="5" t="str">
        <f>IFERROR(__xludf.DUMMYFUNCTION("""COMPUTED_VALUE"""),"×参加しない")</f>
        <v>×参加しない</v>
      </c>
      <c r="J51" s="5"/>
      <c r="K51" s="12">
        <f t="shared" si="2"/>
        <v>0</v>
      </c>
    </row>
    <row r="52" ht="19.5" customHeight="1">
      <c r="A52" s="5">
        <f>IFERROR(__xludf.DUMMYFUNCTION("""COMPUTED_VALUE"""),10104.0)</f>
        <v>10104</v>
      </c>
      <c r="B52" s="5" t="str">
        <f>IFERROR(__xludf.DUMMYFUNCTION("""COMPUTED_VALUE"""),"村山 蒼悟")</f>
        <v>村山 蒼悟</v>
      </c>
      <c r="C52" s="5" t="str">
        <f>IFERROR(__xludf.DUMMYFUNCTION("""COMPUTED_VALUE"""),"むらやま そうご")</f>
        <v>むらやま そうご</v>
      </c>
      <c r="D52" s="5">
        <f>IFERROR(__xludf.DUMMYFUNCTION("""COMPUTED_VALUE"""),4.0)</f>
        <v>4</v>
      </c>
      <c r="E52" s="5" t="str">
        <f>IFERROR(__xludf.DUMMYFUNCTION("""COMPUTED_VALUE"""),"男")</f>
        <v>男</v>
      </c>
      <c r="F52" s="5" t="str">
        <f>IFERROR(__xludf.DUMMYFUNCTION("""COMPUTED_VALUE"""),"MUA")</f>
        <v>MUA</v>
      </c>
      <c r="G52" s="5" t="str">
        <f>IFERROR(__xludf.DUMMYFUNCTION("""COMPUTED_VALUE"""),"○出場")</f>
        <v>○出場</v>
      </c>
      <c r="H52" s="5"/>
      <c r="I52" s="5" t="str">
        <f>IFERROR(__xludf.DUMMYFUNCTION("""COMPUTED_VALUE"""),"○参加する")</f>
        <v>○参加する</v>
      </c>
      <c r="J52" s="5"/>
      <c r="K52" s="12">
        <f t="shared" si="2"/>
        <v>1</v>
      </c>
    </row>
    <row r="53" ht="19.5" customHeight="1">
      <c r="A53" s="5">
        <f>IFERROR(__xludf.DUMMYFUNCTION("""COMPUTED_VALUE"""),10106.0)</f>
        <v>10106</v>
      </c>
      <c r="B53" s="5" t="str">
        <f>IFERROR(__xludf.DUMMYFUNCTION("""COMPUTED_VALUE"""),"木谷 信之祐")</f>
        <v>木谷 信之祐</v>
      </c>
      <c r="C53" s="5" t="str">
        <f>IFERROR(__xludf.DUMMYFUNCTION("""COMPUTED_VALUE"""),"きや しんのすけ")</f>
        <v>きや しんのすけ</v>
      </c>
      <c r="D53" s="5">
        <f>IFERROR(__xludf.DUMMYFUNCTION("""COMPUTED_VALUE"""),4.0)</f>
        <v>4</v>
      </c>
      <c r="E53" s="5" t="str">
        <f>IFERROR(__xludf.DUMMYFUNCTION("""COMPUTED_VALUE"""),"男")</f>
        <v>男</v>
      </c>
      <c r="F53" s="5" t="str">
        <f>IFERROR(__xludf.DUMMYFUNCTION("""COMPUTED_VALUE"""),"×欠場")</f>
        <v>×欠場</v>
      </c>
      <c r="G53" s="5" t="str">
        <f>IFERROR(__xludf.DUMMYFUNCTION("""COMPUTED_VALUE"""),"×欠場")</f>
        <v>×欠場</v>
      </c>
      <c r="H53" s="5"/>
      <c r="I53" s="5" t="str">
        <f>IFERROR(__xludf.DUMMYFUNCTION("""COMPUTED_VALUE"""),"×参加しない")</f>
        <v>×参加しない</v>
      </c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415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1</v>
      </c>
      <c r="E4" s="7">
        <f t="shared" ref="E4:E8" si="1">C4*D4</f>
        <v>8500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0</v>
      </c>
      <c r="E5" s="7">
        <f t="shared" si="1"/>
        <v>0</v>
      </c>
    </row>
    <row r="6" ht="19.5" customHeight="1">
      <c r="A6" s="2" t="s">
        <v>9</v>
      </c>
      <c r="B6" s="4"/>
      <c r="C6" s="7">
        <v>32700.0</v>
      </c>
      <c r="D6" s="10">
        <v>0.0</v>
      </c>
      <c r="E6" s="7">
        <f t="shared" si="1"/>
        <v>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0</v>
      </c>
      <c r="E7" s="7">
        <f t="shared" si="1"/>
        <v>0</v>
      </c>
    </row>
    <row r="8" ht="19.5" customHeight="1">
      <c r="A8" s="2" t="s">
        <v>11</v>
      </c>
      <c r="B8" s="4"/>
      <c r="C8" s="7">
        <v>500.0</v>
      </c>
      <c r="D8" s="5">
        <f>D4-COUNT(H14:H201)</f>
        <v>1</v>
      </c>
      <c r="E8" s="7">
        <f t="shared" si="1"/>
        <v>500</v>
      </c>
    </row>
    <row r="9" ht="19.5" customHeight="1">
      <c r="A9" s="9"/>
      <c r="B9" s="9"/>
      <c r="C9" s="9"/>
      <c r="D9" s="10" t="s">
        <v>5</v>
      </c>
      <c r="E9" s="11">
        <f>SUM(E4:E8)</f>
        <v>9000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IFERROR(__xludf.DUMMYFUNCTION("FILTER('個人別エントリー'!C2:L1018,'個人別エントリー'!B2:B1018=A1)"),315201.0)</f>
        <v>315201</v>
      </c>
      <c r="B14" s="5" t="str">
        <f>IFERROR(__xludf.DUMMYFUNCTION("""COMPUTED_VALUE"""),"大橋　美空")</f>
        <v>大橋　美空</v>
      </c>
      <c r="C14" s="5" t="str">
        <f>IFERROR(__xludf.DUMMYFUNCTION("""COMPUTED_VALUE"""),"おおはし　みく")</f>
        <v>おおはし　みく</v>
      </c>
      <c r="D14" s="5">
        <f>IFERROR(__xludf.DUMMYFUNCTION("""COMPUTED_VALUE"""),1.0)</f>
        <v>1</v>
      </c>
      <c r="E14" s="5" t="str">
        <f>IFERROR(__xludf.DUMMYFUNCTION("""COMPUTED_VALUE"""),"女")</f>
        <v>女</v>
      </c>
      <c r="F14" s="5" t="str">
        <f>IFERROR(__xludf.DUMMYFUNCTION("""COMPUTED_VALUE"""),"WUF")</f>
        <v>WUF</v>
      </c>
      <c r="G14" s="5" t="str">
        <f>IFERROR(__xludf.DUMMYFUNCTION("""COMPUTED_VALUE"""),"○出場")</f>
        <v>○出場</v>
      </c>
      <c r="H14" s="5"/>
      <c r="I14" s="5" t="str">
        <f>IFERROR(__xludf.DUMMYFUNCTION("""COMPUTED_VALUE"""),"○参加する")</f>
        <v>○参加する</v>
      </c>
      <c r="J14" s="5" t="str">
        <f>IFERROR(__xludf.DUMMYFUNCTION("""COMPUTED_VALUE"""),"3月15、16日")</f>
        <v>3月15、16日</v>
      </c>
      <c r="K14" s="12">
        <f t="shared" ref="K14:K201" si="2">IF(AND(OR(F14="×欠場",F14=""),OR(G14="×欠場",G14="")),0,1)</f>
        <v>1</v>
      </c>
      <c r="M14" s="5" t="str">
        <f>IFERROR(__xludf.DUMMYFUNCTION("FILTER('リレー内容'!$C$2:$K$51,'リレー内容'!$B$2:$B$51=A1)"),"×欠場")</f>
        <v>×欠場</v>
      </c>
      <c r="N14" s="5" t="str">
        <f>IFERROR(__xludf.DUMMYFUNCTION("""COMPUTED_VALUE"""),"×欠場")</f>
        <v>×欠場</v>
      </c>
      <c r="O14" s="5">
        <f>IFERROR(__xludf.DUMMYFUNCTION("""COMPUTED_VALUE"""),0.0)</f>
        <v>0</v>
      </c>
      <c r="P14" s="5">
        <f>IFERROR(__xludf.DUMMYFUNCTION("""COMPUTED_VALUE"""),0.0)</f>
        <v>0</v>
      </c>
      <c r="Q14" s="5">
        <f>IFERROR(__xludf.DUMMYFUNCTION("""COMPUTED_VALUE"""),0.0)</f>
        <v>0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12">
        <f t="shared" si="2"/>
        <v>0</v>
      </c>
    </row>
    <row r="16" ht="19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12">
        <f t="shared" si="2"/>
        <v>0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12">
        <f t="shared" si="2"/>
        <v>0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12">
        <f t="shared" si="2"/>
        <v>0</v>
      </c>
      <c r="M18" s="5" t="s">
        <v>28</v>
      </c>
      <c r="N18" s="2" t="s">
        <v>329</v>
      </c>
      <c r="O18" s="4"/>
      <c r="P18" s="2" t="s">
        <v>2318</v>
      </c>
      <c r="Q18" s="3"/>
      <c r="R18" s="3"/>
      <c r="S18" s="3"/>
      <c r="T18" s="3"/>
      <c r="U18" s="4"/>
    </row>
    <row r="19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12">
        <f t="shared" si="2"/>
        <v>0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12">
        <f t="shared" si="2"/>
        <v>0</v>
      </c>
    </row>
    <row r="21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12">
        <f t="shared" si="2"/>
        <v>0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2">
        <f t="shared" si="2"/>
        <v>0</v>
      </c>
      <c r="M23" s="2"/>
      <c r="N23" s="4"/>
      <c r="O23" s="2"/>
      <c r="P23" s="3"/>
      <c r="Q23" s="5"/>
      <c r="R23" s="2"/>
      <c r="S23" s="4"/>
      <c r="T23" s="14"/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2">
        <f t="shared" si="2"/>
        <v>0</v>
      </c>
      <c r="M24" s="2"/>
      <c r="N24" s="4"/>
      <c r="O24" s="2"/>
      <c r="P24" s="3"/>
      <c r="Q24" s="5"/>
      <c r="R24" s="2"/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12">
        <f t="shared" si="2"/>
        <v>0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12">
        <f t="shared" si="2"/>
        <v>0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12">
        <f t="shared" si="2"/>
        <v>0</v>
      </c>
    </row>
    <row r="28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12">
        <f t="shared" si="2"/>
        <v>0</v>
      </c>
    </row>
    <row r="29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12">
        <f t="shared" si="2"/>
        <v>0</v>
      </c>
    </row>
    <row r="3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12">
        <f t="shared" si="2"/>
        <v>0</v>
      </c>
    </row>
    <row r="31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12">
        <f t="shared" si="2"/>
        <v>0</v>
      </c>
    </row>
    <row r="32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12">
        <f t="shared" si="2"/>
        <v>0</v>
      </c>
    </row>
    <row r="33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12">
        <f t="shared" si="2"/>
        <v>0</v>
      </c>
    </row>
    <row r="34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12">
        <f t="shared" si="2"/>
        <v>0</v>
      </c>
    </row>
    <row r="3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12">
        <f t="shared" si="2"/>
        <v>0</v>
      </c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12">
        <f t="shared" si="2"/>
        <v>0</v>
      </c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12">
        <f t="shared" si="2"/>
        <v>0</v>
      </c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12">
        <f t="shared" si="2"/>
        <v>0</v>
      </c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12">
        <f t="shared" si="2"/>
        <v>0</v>
      </c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12">
        <f t="shared" si="2"/>
        <v>0</v>
      </c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12">
        <f t="shared" si="2"/>
        <v>0</v>
      </c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12">
        <f t="shared" si="2"/>
        <v>0</v>
      </c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12">
        <f t="shared" si="2"/>
        <v>0</v>
      </c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12">
        <f t="shared" si="2"/>
        <v>0</v>
      </c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2">
        <f t="shared" si="2"/>
        <v>0</v>
      </c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2">
        <f t="shared" si="2"/>
        <v>0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418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4</v>
      </c>
      <c r="E4" s="7">
        <f t="shared" ref="E4:E8" si="1">C4*D4</f>
        <v>34000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0</v>
      </c>
      <c r="E5" s="7">
        <f t="shared" si="1"/>
        <v>0</v>
      </c>
    </row>
    <row r="6" ht="19.5" customHeight="1">
      <c r="A6" s="2" t="s">
        <v>9</v>
      </c>
      <c r="B6" s="4"/>
      <c r="C6" s="7">
        <v>32700.0</v>
      </c>
      <c r="D6" s="5">
        <f>D4+D5</f>
        <v>4</v>
      </c>
      <c r="E6" s="7">
        <f t="shared" si="1"/>
        <v>130800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1</v>
      </c>
      <c r="E7" s="7">
        <f t="shared" si="1"/>
        <v>4500</v>
      </c>
    </row>
    <row r="8" ht="19.5" customHeight="1">
      <c r="A8" s="2" t="s">
        <v>11</v>
      </c>
      <c r="B8" s="4"/>
      <c r="C8" s="7">
        <v>500.0</v>
      </c>
      <c r="D8" s="5">
        <f>D4-COUNT(H14:H201)</f>
        <v>0</v>
      </c>
      <c r="E8" s="7">
        <f t="shared" si="1"/>
        <v>0</v>
      </c>
    </row>
    <row r="9" ht="19.5" customHeight="1">
      <c r="A9" s="9"/>
      <c r="B9" s="9"/>
      <c r="C9" s="9"/>
      <c r="D9" s="10" t="s">
        <v>5</v>
      </c>
      <c r="E9" s="11">
        <f>SUM(E4:E8)</f>
        <v>169300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IFERROR(__xludf.DUMMYFUNCTION("FILTER('個人別エントリー'!C2:L1018,'個人別エントリー'!B2:B1018=A1)"),320104.0)</f>
        <v>320104</v>
      </c>
      <c r="B14" s="5" t="str">
        <f>IFERROR(__xludf.DUMMYFUNCTION("""COMPUTED_VALUE"""),"山下和乃")</f>
        <v>山下和乃</v>
      </c>
      <c r="C14" s="5" t="str">
        <f>IFERROR(__xludf.DUMMYFUNCTION("""COMPUTED_VALUE"""),"やましたかずの")</f>
        <v>やましたかずの</v>
      </c>
      <c r="D14" s="5">
        <f>IFERROR(__xludf.DUMMYFUNCTION("""COMPUTED_VALUE"""),1.0)</f>
        <v>1</v>
      </c>
      <c r="E14" s="5" t="str">
        <f>IFERROR(__xludf.DUMMYFUNCTION("""COMPUTED_VALUE"""),"女")</f>
        <v>女</v>
      </c>
      <c r="F14" s="5" t="str">
        <f>IFERROR(__xludf.DUMMYFUNCTION("""COMPUTED_VALUE"""),"WUF")</f>
        <v>WUF</v>
      </c>
      <c r="G14" s="5" t="str">
        <f>IFERROR(__xludf.DUMMYFUNCTION("""COMPUTED_VALUE"""),"×欠場")</f>
        <v>×欠場</v>
      </c>
      <c r="H14" s="5">
        <f>IFERROR(__xludf.DUMMYFUNCTION("""COMPUTED_VALUE"""),270410.0)</f>
        <v>270410</v>
      </c>
      <c r="I14" s="5" t="str">
        <f>IFERROR(__xludf.DUMMYFUNCTION("""COMPUTED_VALUE"""),"×参加しない")</f>
        <v>×参加しない</v>
      </c>
      <c r="J14" s="5"/>
      <c r="K14" s="12">
        <f t="shared" ref="K14:K201" si="2">IF(AND(OR(F14="×欠場",F14=""),OR(G14="×欠場",G14="")),0,1)</f>
        <v>1</v>
      </c>
      <c r="M14" s="5" t="str">
        <f>IFERROR(__xludf.DUMMYFUNCTION("FILTER('リレー内容'!$C$2:$K$51,'リレー内容'!$B$2:$B$51=A1)"),"○出場")</f>
        <v>○出場</v>
      </c>
      <c r="N14" s="5" t="str">
        <f>IFERROR(__xludf.DUMMYFUNCTION("""COMPUTED_VALUE"""),"×欠場")</f>
        <v>×欠場</v>
      </c>
      <c r="O14" s="5">
        <f>IFERROR(__xludf.DUMMYFUNCTION("""COMPUTED_VALUE"""),1.0)</f>
        <v>1</v>
      </c>
      <c r="P14" s="5">
        <f>IFERROR(__xludf.DUMMYFUNCTION("""COMPUTED_VALUE"""),0.0)</f>
        <v>0</v>
      </c>
      <c r="Q14" s="5">
        <f>IFERROR(__xludf.DUMMYFUNCTION("""COMPUTED_VALUE"""),0.0)</f>
        <v>0</v>
      </c>
      <c r="R14" s="5">
        <f>IFERROR(__xludf.DUMMYFUNCTION("""COMPUTED_VALUE"""),0.0)</f>
        <v>0</v>
      </c>
      <c r="S14" s="5">
        <f>IFERROR(__xludf.DUMMYFUNCTION("""COMPUTED_VALUE"""),1.0)</f>
        <v>1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IFERROR(__xludf.DUMMYFUNCTION("""COMPUTED_VALUE"""),220101.0)</f>
        <v>220101</v>
      </c>
      <c r="B15" s="5" t="str">
        <f>IFERROR(__xludf.DUMMYFUNCTION("""COMPUTED_VALUE"""),"大野航洋")</f>
        <v>大野航洋</v>
      </c>
      <c r="C15" s="5" t="str">
        <f>IFERROR(__xludf.DUMMYFUNCTION("""COMPUTED_VALUE"""),"おおのこうよう")</f>
        <v>おおのこうよう</v>
      </c>
      <c r="D15" s="5">
        <f>IFERROR(__xludf.DUMMYFUNCTION("""COMPUTED_VALUE"""),2.0)</f>
        <v>2</v>
      </c>
      <c r="E15" s="5" t="str">
        <f>IFERROR(__xludf.DUMMYFUNCTION("""COMPUTED_VALUE"""),"男")</f>
        <v>男</v>
      </c>
      <c r="F15" s="5" t="str">
        <f>IFERROR(__xludf.DUMMYFUNCTION("""COMPUTED_VALUE"""),"MUA")</f>
        <v>MUA</v>
      </c>
      <c r="G15" s="5" t="str">
        <f>IFERROR(__xludf.DUMMYFUNCTION("""COMPUTED_VALUE"""),"○出場")</f>
        <v>○出場</v>
      </c>
      <c r="H15" s="5">
        <f>IFERROR(__xludf.DUMMYFUNCTION("""COMPUTED_VALUE"""),270411.0)</f>
        <v>270411</v>
      </c>
      <c r="I15" s="5" t="str">
        <f>IFERROR(__xludf.DUMMYFUNCTION("""COMPUTED_VALUE"""),"×参加しない")</f>
        <v>×参加しない</v>
      </c>
      <c r="J15" s="5"/>
      <c r="K15" s="12">
        <f t="shared" si="2"/>
        <v>1</v>
      </c>
    </row>
    <row r="16" ht="19.5" customHeight="1">
      <c r="A16" s="5">
        <f>IFERROR(__xludf.DUMMYFUNCTION("""COMPUTED_VALUE"""),120105.0)</f>
        <v>120105</v>
      </c>
      <c r="B16" s="5" t="str">
        <f>IFERROR(__xludf.DUMMYFUNCTION("""COMPUTED_VALUE"""),"大木翔太郎")</f>
        <v>大木翔太郎</v>
      </c>
      <c r="C16" s="5" t="str">
        <f>IFERROR(__xludf.DUMMYFUNCTION("""COMPUTED_VALUE"""),"おおきしょうたろう")</f>
        <v>おおきしょうたろう</v>
      </c>
      <c r="D16" s="5">
        <f>IFERROR(__xludf.DUMMYFUNCTION("""COMPUTED_VALUE"""),3.0)</f>
        <v>3</v>
      </c>
      <c r="E16" s="5" t="str">
        <f>IFERROR(__xludf.DUMMYFUNCTION("""COMPUTED_VALUE"""),"男")</f>
        <v>男</v>
      </c>
      <c r="F16" s="5" t="str">
        <f>IFERROR(__xludf.DUMMYFUNCTION("""COMPUTED_VALUE"""),"MUA")</f>
        <v>MUA</v>
      </c>
      <c r="G16" s="5" t="str">
        <f>IFERROR(__xludf.DUMMYFUNCTION("""COMPUTED_VALUE"""),"○出場")</f>
        <v>○出場</v>
      </c>
      <c r="H16" s="5">
        <f>IFERROR(__xludf.DUMMYFUNCTION("""COMPUTED_VALUE"""),270412.0)</f>
        <v>270412</v>
      </c>
      <c r="I16" s="5" t="str">
        <f>IFERROR(__xludf.DUMMYFUNCTION("""COMPUTED_VALUE"""),"×参加しない")</f>
        <v>×参加しない</v>
      </c>
      <c r="J16" s="5"/>
      <c r="K16" s="12">
        <f t="shared" si="2"/>
        <v>1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>
        <f>IFERROR(__xludf.DUMMYFUNCTION("""COMPUTED_VALUE"""),120114.0)</f>
        <v>120114</v>
      </c>
      <c r="B17" s="5" t="str">
        <f>IFERROR(__xludf.DUMMYFUNCTION("""COMPUTED_VALUE"""),"加藤聡一郎")</f>
        <v>加藤聡一郎</v>
      </c>
      <c r="C17" s="5" t="str">
        <f>IFERROR(__xludf.DUMMYFUNCTION("""COMPUTED_VALUE"""),"かとうそういちろう")</f>
        <v>かとうそういちろう</v>
      </c>
      <c r="D17" s="5">
        <f>IFERROR(__xludf.DUMMYFUNCTION("""COMPUTED_VALUE"""),3.0)</f>
        <v>3</v>
      </c>
      <c r="E17" s="5" t="str">
        <f>IFERROR(__xludf.DUMMYFUNCTION("""COMPUTED_VALUE"""),"男")</f>
        <v>男</v>
      </c>
      <c r="F17" s="5" t="str">
        <f>IFERROR(__xludf.DUMMYFUNCTION("""COMPUTED_VALUE"""),"MUA")</f>
        <v>MUA</v>
      </c>
      <c r="G17" s="5" t="str">
        <f>IFERROR(__xludf.DUMMYFUNCTION("""COMPUTED_VALUE"""),"○出場")</f>
        <v>○出場</v>
      </c>
      <c r="H17" s="5">
        <f>IFERROR(__xludf.DUMMYFUNCTION("""COMPUTED_VALUE"""),270413.0)</f>
        <v>270413</v>
      </c>
      <c r="I17" s="5" t="str">
        <f>IFERROR(__xludf.DUMMYFUNCTION("""COMPUTED_VALUE"""),"×参加しない")</f>
        <v>×参加しない</v>
      </c>
      <c r="J17" s="5"/>
      <c r="K17" s="12">
        <f t="shared" si="2"/>
        <v>1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12">
        <f t="shared" si="2"/>
        <v>0</v>
      </c>
      <c r="M18" s="5"/>
      <c r="N18" s="2"/>
      <c r="O18" s="4"/>
      <c r="P18" s="2"/>
      <c r="Q18" s="3"/>
      <c r="R18" s="3"/>
      <c r="S18" s="3"/>
      <c r="T18" s="3"/>
      <c r="U18" s="4"/>
    </row>
    <row r="19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12">
        <f t="shared" si="2"/>
        <v>0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12">
        <f t="shared" si="2"/>
        <v>0</v>
      </c>
    </row>
    <row r="21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12">
        <f t="shared" si="2"/>
        <v>0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2">
        <f t="shared" si="2"/>
        <v>0</v>
      </c>
      <c r="M23" s="2"/>
      <c r="N23" s="4"/>
      <c r="O23" s="2"/>
      <c r="P23" s="3"/>
      <c r="Q23" s="5"/>
      <c r="R23" s="2"/>
      <c r="S23" s="4"/>
      <c r="T23" s="14"/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2">
        <f t="shared" si="2"/>
        <v>0</v>
      </c>
      <c r="M24" s="2"/>
      <c r="N24" s="4"/>
      <c r="O24" s="2"/>
      <c r="P24" s="3"/>
      <c r="Q24" s="5"/>
      <c r="R24" s="2"/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12">
        <f t="shared" si="2"/>
        <v>0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12">
        <f t="shared" si="2"/>
        <v>0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12">
        <f t="shared" si="2"/>
        <v>0</v>
      </c>
    </row>
    <row r="28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12">
        <f t="shared" si="2"/>
        <v>0</v>
      </c>
    </row>
    <row r="29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12">
        <f t="shared" si="2"/>
        <v>0</v>
      </c>
    </row>
    <row r="3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12">
        <f t="shared" si="2"/>
        <v>0</v>
      </c>
    </row>
    <row r="31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12">
        <f t="shared" si="2"/>
        <v>0</v>
      </c>
    </row>
    <row r="32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12">
        <f t="shared" si="2"/>
        <v>0</v>
      </c>
    </row>
    <row r="33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12">
        <f t="shared" si="2"/>
        <v>0</v>
      </c>
    </row>
    <row r="34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12">
        <f t="shared" si="2"/>
        <v>0</v>
      </c>
    </row>
    <row r="3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12">
        <f t="shared" si="2"/>
        <v>0</v>
      </c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12">
        <f t="shared" si="2"/>
        <v>0</v>
      </c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12">
        <f t="shared" si="2"/>
        <v>0</v>
      </c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12">
        <f t="shared" si="2"/>
        <v>0</v>
      </c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12">
        <f t="shared" si="2"/>
        <v>0</v>
      </c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12">
        <f t="shared" si="2"/>
        <v>0</v>
      </c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12">
        <f t="shared" si="2"/>
        <v>0</v>
      </c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12">
        <f t="shared" si="2"/>
        <v>0</v>
      </c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12">
        <f t="shared" si="2"/>
        <v>0</v>
      </c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12">
        <f t="shared" si="2"/>
        <v>0</v>
      </c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2">
        <f t="shared" si="2"/>
        <v>0</v>
      </c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2">
        <f t="shared" si="2"/>
        <v>0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427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19</v>
      </c>
      <c r="E4" s="7">
        <f t="shared" ref="E4:E8" si="1">C4*D4</f>
        <v>161500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4</v>
      </c>
      <c r="E5" s="7">
        <f t="shared" si="1"/>
        <v>32000</v>
      </c>
    </row>
    <row r="6" ht="19.5" customHeight="1">
      <c r="A6" s="2" t="s">
        <v>9</v>
      </c>
      <c r="B6" s="4"/>
      <c r="C6" s="7">
        <v>32700.0</v>
      </c>
      <c r="D6" s="5">
        <f>D4+D5</f>
        <v>23</v>
      </c>
      <c r="E6" s="7">
        <f t="shared" si="1"/>
        <v>752100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2</v>
      </c>
      <c r="E7" s="7">
        <f t="shared" si="1"/>
        <v>9000</v>
      </c>
    </row>
    <row r="8" ht="19.5" customHeight="1">
      <c r="A8" s="2" t="s">
        <v>11</v>
      </c>
      <c r="B8" s="4"/>
      <c r="C8" s="7">
        <v>500.0</v>
      </c>
      <c r="D8" s="5">
        <f>D4-COUNT(H14:H201)</f>
        <v>0</v>
      </c>
      <c r="E8" s="7">
        <f t="shared" si="1"/>
        <v>0</v>
      </c>
    </row>
    <row r="9" ht="19.5" customHeight="1">
      <c r="A9" s="9"/>
      <c r="B9" s="9"/>
      <c r="C9" s="9"/>
      <c r="D9" s="10" t="s">
        <v>5</v>
      </c>
      <c r="E9" s="11">
        <f>SUM(E4:E8)</f>
        <v>954600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IFERROR(__xludf.DUMMYFUNCTION("FILTER('個人別エントリー'!C2:L1018,'個人別エントリー'!B2:B1018=A1)"),320306.0)</f>
        <v>320306</v>
      </c>
      <c r="B14" s="5" t="str">
        <f>IFERROR(__xludf.DUMMYFUNCTION("""COMPUTED_VALUE"""),"中沢千聖")</f>
        <v>中沢千聖</v>
      </c>
      <c r="C14" s="5" t="str">
        <f>IFERROR(__xludf.DUMMYFUNCTION("""COMPUTED_VALUE"""),"なかざわちさと")</f>
        <v>なかざわちさと</v>
      </c>
      <c r="D14" s="5">
        <f>IFERROR(__xludf.DUMMYFUNCTION("""COMPUTED_VALUE"""),1.0)</f>
        <v>1</v>
      </c>
      <c r="E14" s="5" t="str">
        <f>IFERROR(__xludf.DUMMYFUNCTION("""COMPUTED_VALUE"""),"男")</f>
        <v>男</v>
      </c>
      <c r="F14" s="5" t="str">
        <f>IFERROR(__xludf.DUMMYFUNCTION("""COMPUTED_VALUE"""),"×欠場")</f>
        <v>×欠場</v>
      </c>
      <c r="G14" s="5" t="str">
        <f>IFERROR(__xludf.DUMMYFUNCTION("""COMPUTED_VALUE"""),"○出場")</f>
        <v>○出場</v>
      </c>
      <c r="H14" s="5">
        <f>IFERROR(__xludf.DUMMYFUNCTION("""COMPUTED_VALUE"""),528155.0)</f>
        <v>528155</v>
      </c>
      <c r="I14" s="5" t="str">
        <f>IFERROR(__xludf.DUMMYFUNCTION("""COMPUTED_VALUE"""),"×参加しない")</f>
        <v>×参加しない</v>
      </c>
      <c r="J14" s="5" t="str">
        <f>IFERROR(__xludf.DUMMYFUNCTION("""COMPUTED_VALUE"""),"不泊申請待ち")</f>
        <v>不泊申請待ち</v>
      </c>
      <c r="K14" s="12">
        <f t="shared" ref="K14:K201" si="2">IF(AND(OR(F14="×欠場",F14=""),OR(G14="×欠場",G14="")),0,1)</f>
        <v>1</v>
      </c>
      <c r="M14" s="5" t="str">
        <f>IFERROR(__xludf.DUMMYFUNCTION("FILTER('リレー内容'!$C$2:$K$51,'リレー内容'!$B$2:$B$51=A1)"),"○出場")</f>
        <v>○出場</v>
      </c>
      <c r="N14" s="5" t="str">
        <f>IFERROR(__xludf.DUMMYFUNCTION("""COMPUTED_VALUE"""),"○出場")</f>
        <v>○出場</v>
      </c>
      <c r="O14" s="5">
        <f>IFERROR(__xludf.DUMMYFUNCTION("""COMPUTED_VALUE"""),4.0)</f>
        <v>4</v>
      </c>
      <c r="P14" s="5">
        <f>IFERROR(__xludf.DUMMYFUNCTION("""COMPUTED_VALUE"""),0.0)</f>
        <v>0</v>
      </c>
      <c r="Q14" s="5">
        <f>IFERROR(__xludf.DUMMYFUNCTION("""COMPUTED_VALUE"""),0.0)</f>
        <v>0</v>
      </c>
      <c r="R14" s="5">
        <f>IFERROR(__xludf.DUMMYFUNCTION("""COMPUTED_VALUE"""),1.0)</f>
        <v>1</v>
      </c>
      <c r="S14" s="5">
        <f>IFERROR(__xludf.DUMMYFUNCTION("""COMPUTED_VALUE"""),0.0)</f>
        <v>0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IFERROR(__xludf.DUMMYFUNCTION("""COMPUTED_VALUE"""),320309.0)</f>
        <v>320309</v>
      </c>
      <c r="B15" s="5" t="str">
        <f>IFERROR(__xludf.DUMMYFUNCTION("""COMPUTED_VALUE"""),"馬場晴太郎")</f>
        <v>馬場晴太郎</v>
      </c>
      <c r="C15" s="5" t="str">
        <f>IFERROR(__xludf.DUMMYFUNCTION("""COMPUTED_VALUE"""),"ばばはるたろう")</f>
        <v>ばばはるたろう</v>
      </c>
      <c r="D15" s="5">
        <f>IFERROR(__xludf.DUMMYFUNCTION("""COMPUTED_VALUE"""),1.0)</f>
        <v>1</v>
      </c>
      <c r="E15" s="5" t="str">
        <f>IFERROR(__xludf.DUMMYFUNCTION("""COMPUTED_VALUE"""),"男")</f>
        <v>男</v>
      </c>
      <c r="F15" s="5" t="str">
        <f>IFERROR(__xludf.DUMMYFUNCTION("""COMPUTED_VALUE"""),"MUF")</f>
        <v>MUF</v>
      </c>
      <c r="G15" s="5" t="str">
        <f>IFERROR(__xludf.DUMMYFUNCTION("""COMPUTED_VALUE"""),"○出場")</f>
        <v>○出場</v>
      </c>
      <c r="H15" s="5">
        <f>IFERROR(__xludf.DUMMYFUNCTION("""COMPUTED_VALUE"""),528156.0)</f>
        <v>528156</v>
      </c>
      <c r="I15" s="5" t="str">
        <f>IFERROR(__xludf.DUMMYFUNCTION("""COMPUTED_VALUE"""),"×参加しない")</f>
        <v>×参加しない</v>
      </c>
      <c r="J15" s="5" t="str">
        <f>IFERROR(__xludf.DUMMYFUNCTION("""COMPUTED_VALUE"""),"不泊申請待ち")</f>
        <v>不泊申請待ち</v>
      </c>
      <c r="K15" s="12">
        <f t="shared" si="2"/>
        <v>1</v>
      </c>
    </row>
    <row r="16" ht="19.5" customHeight="1">
      <c r="A16" s="5">
        <f>IFERROR(__xludf.DUMMYFUNCTION("""COMPUTED_VALUE"""),320311.0)</f>
        <v>320311</v>
      </c>
      <c r="B16" s="5" t="str">
        <f>IFERROR(__xludf.DUMMYFUNCTION("""COMPUTED_VALUE"""),"野口彰洋")</f>
        <v>野口彰洋</v>
      </c>
      <c r="C16" s="5" t="str">
        <f>IFERROR(__xludf.DUMMYFUNCTION("""COMPUTED_VALUE"""),"のぐちあきひろ")</f>
        <v>のぐちあきひろ</v>
      </c>
      <c r="D16" s="5">
        <f>IFERROR(__xludf.DUMMYFUNCTION("""COMPUTED_VALUE"""),1.0)</f>
        <v>1</v>
      </c>
      <c r="E16" s="5" t="str">
        <f>IFERROR(__xludf.DUMMYFUNCTION("""COMPUTED_VALUE"""),"男")</f>
        <v>男</v>
      </c>
      <c r="F16" s="5" t="str">
        <f>IFERROR(__xludf.DUMMYFUNCTION("""COMPUTED_VALUE"""),"MUF")</f>
        <v>MUF</v>
      </c>
      <c r="G16" s="5" t="str">
        <f>IFERROR(__xludf.DUMMYFUNCTION("""COMPUTED_VALUE"""),"○出場")</f>
        <v>○出場</v>
      </c>
      <c r="H16" s="5">
        <f>IFERROR(__xludf.DUMMYFUNCTION("""COMPUTED_VALUE"""),528157.0)</f>
        <v>528157</v>
      </c>
      <c r="I16" s="5" t="str">
        <f>IFERROR(__xludf.DUMMYFUNCTION("""COMPUTED_VALUE"""),"×参加しない")</f>
        <v>×参加しない</v>
      </c>
      <c r="J16" s="5" t="str">
        <f>IFERROR(__xludf.DUMMYFUNCTION("""COMPUTED_VALUE"""),"不泊申請待ち")</f>
        <v>不泊申請待ち</v>
      </c>
      <c r="K16" s="12">
        <f t="shared" si="2"/>
        <v>1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>
        <f>IFERROR(__xludf.DUMMYFUNCTION("""COMPUTED_VALUE"""),320313.0)</f>
        <v>320313</v>
      </c>
      <c r="B17" s="5" t="str">
        <f>IFERROR(__xludf.DUMMYFUNCTION("""COMPUTED_VALUE"""),"遠藤翔太")</f>
        <v>遠藤翔太</v>
      </c>
      <c r="C17" s="5" t="str">
        <f>IFERROR(__xludf.DUMMYFUNCTION("""COMPUTED_VALUE"""),"えんどうしょうた")</f>
        <v>えんどうしょうた</v>
      </c>
      <c r="D17" s="5">
        <f>IFERROR(__xludf.DUMMYFUNCTION("""COMPUTED_VALUE"""),1.0)</f>
        <v>1</v>
      </c>
      <c r="E17" s="5" t="str">
        <f>IFERROR(__xludf.DUMMYFUNCTION("""COMPUTED_VALUE"""),"男")</f>
        <v>男</v>
      </c>
      <c r="F17" s="5" t="str">
        <f>IFERROR(__xludf.DUMMYFUNCTION("""COMPUTED_VALUE"""),"×欠場")</f>
        <v>×欠場</v>
      </c>
      <c r="G17" s="5" t="str">
        <f>IFERROR(__xludf.DUMMYFUNCTION("""COMPUTED_VALUE"""),"○出場")</f>
        <v>○出場</v>
      </c>
      <c r="H17" s="5">
        <f>IFERROR(__xludf.DUMMYFUNCTION("""COMPUTED_VALUE"""),528158.0)</f>
        <v>528158</v>
      </c>
      <c r="I17" s="5" t="str">
        <f>IFERROR(__xludf.DUMMYFUNCTION("""COMPUTED_VALUE"""),"×参加しない")</f>
        <v>×参加しない</v>
      </c>
      <c r="J17" s="5" t="str">
        <f>IFERROR(__xludf.DUMMYFUNCTION("""COMPUTED_VALUE"""),"不泊申請待ち")</f>
        <v>不泊申請待ち</v>
      </c>
      <c r="K17" s="12">
        <f t="shared" si="2"/>
        <v>1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>
        <f>IFERROR(__xludf.DUMMYFUNCTION("""COMPUTED_VALUE"""),220304.0)</f>
        <v>220304</v>
      </c>
      <c r="B18" s="5" t="str">
        <f>IFERROR(__xludf.DUMMYFUNCTION("""COMPUTED_VALUE"""),"小島宗慈")</f>
        <v>小島宗慈</v>
      </c>
      <c r="C18" s="5" t="str">
        <f>IFERROR(__xludf.DUMMYFUNCTION("""COMPUTED_VALUE"""),"こじましゅうじ")</f>
        <v>こじましゅうじ</v>
      </c>
      <c r="D18" s="5">
        <f>IFERROR(__xludf.DUMMYFUNCTION("""COMPUTED_VALUE"""),2.0)</f>
        <v>2</v>
      </c>
      <c r="E18" s="5" t="str">
        <f>IFERROR(__xludf.DUMMYFUNCTION("""COMPUTED_VALUE"""),"男")</f>
        <v>男</v>
      </c>
      <c r="F18" s="5" t="str">
        <f>IFERROR(__xludf.DUMMYFUNCTION("""COMPUTED_VALUE"""),"MUA")</f>
        <v>MUA</v>
      </c>
      <c r="G18" s="5" t="str">
        <f>IFERROR(__xludf.DUMMYFUNCTION("""COMPUTED_VALUE"""),"○出場")</f>
        <v>○出場</v>
      </c>
      <c r="H18" s="5">
        <f>IFERROR(__xludf.DUMMYFUNCTION("""COMPUTED_VALUE"""),528159.0)</f>
        <v>528159</v>
      </c>
      <c r="I18" s="5" t="str">
        <f>IFERROR(__xludf.DUMMYFUNCTION("""COMPUTED_VALUE"""),"×参加しない")</f>
        <v>×参加しない</v>
      </c>
      <c r="J18" s="5" t="str">
        <f>IFERROR(__xludf.DUMMYFUNCTION("""COMPUTED_VALUE"""),"不泊申請待ち")</f>
        <v>不泊申請待ち</v>
      </c>
      <c r="K18" s="12">
        <f t="shared" si="2"/>
        <v>1</v>
      </c>
      <c r="M18" s="5"/>
      <c r="N18" s="2"/>
      <c r="O18" s="4"/>
      <c r="P18" s="2"/>
      <c r="Q18" s="3"/>
      <c r="R18" s="3"/>
      <c r="S18" s="3"/>
      <c r="T18" s="3"/>
      <c r="U18" s="4"/>
    </row>
    <row r="19" ht="19.5" customHeight="1">
      <c r="A19" s="5">
        <f>IFERROR(__xludf.DUMMYFUNCTION("""COMPUTED_VALUE"""),220305.0)</f>
        <v>220305</v>
      </c>
      <c r="B19" s="5" t="str">
        <f>IFERROR(__xludf.DUMMYFUNCTION("""COMPUTED_VALUE"""),"小山勇士")</f>
        <v>小山勇士</v>
      </c>
      <c r="C19" s="5" t="str">
        <f>IFERROR(__xludf.DUMMYFUNCTION("""COMPUTED_VALUE"""),"こやまはやと")</f>
        <v>こやまはやと</v>
      </c>
      <c r="D19" s="5">
        <f>IFERROR(__xludf.DUMMYFUNCTION("""COMPUTED_VALUE"""),2.0)</f>
        <v>2</v>
      </c>
      <c r="E19" s="5" t="str">
        <f>IFERROR(__xludf.DUMMYFUNCTION("""COMPUTED_VALUE"""),"男")</f>
        <v>男</v>
      </c>
      <c r="F19" s="5" t="str">
        <f>IFERROR(__xludf.DUMMYFUNCTION("""COMPUTED_VALUE"""),"MUA")</f>
        <v>MUA</v>
      </c>
      <c r="G19" s="5" t="str">
        <f>IFERROR(__xludf.DUMMYFUNCTION("""COMPUTED_VALUE"""),"○出場")</f>
        <v>○出場</v>
      </c>
      <c r="H19" s="5">
        <f>IFERROR(__xludf.DUMMYFUNCTION("""COMPUTED_VALUE"""),528160.0)</f>
        <v>528160</v>
      </c>
      <c r="I19" s="5" t="str">
        <f>IFERROR(__xludf.DUMMYFUNCTION("""COMPUTED_VALUE"""),"×参加しない")</f>
        <v>×参加しない</v>
      </c>
      <c r="J19" s="5" t="str">
        <f>IFERROR(__xludf.DUMMYFUNCTION("""COMPUTED_VALUE"""),"不泊申請待ち")</f>
        <v>不泊申請待ち</v>
      </c>
      <c r="K19" s="12">
        <f t="shared" si="2"/>
        <v>1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>
        <f>IFERROR(__xludf.DUMMYFUNCTION("""COMPUTED_VALUE"""),220307.0)</f>
        <v>220307</v>
      </c>
      <c r="B20" s="5" t="str">
        <f>IFERROR(__xludf.DUMMYFUNCTION("""COMPUTED_VALUE"""),"丹沢台")</f>
        <v>丹沢台</v>
      </c>
      <c r="C20" s="5" t="str">
        <f>IFERROR(__xludf.DUMMYFUNCTION("""COMPUTED_VALUE"""),"たんざわうてな")</f>
        <v>たんざわうてな</v>
      </c>
      <c r="D20" s="5">
        <f>IFERROR(__xludf.DUMMYFUNCTION("""COMPUTED_VALUE"""),2.0)</f>
        <v>2</v>
      </c>
      <c r="E20" s="5" t="str">
        <f>IFERROR(__xludf.DUMMYFUNCTION("""COMPUTED_VALUE"""),"男")</f>
        <v>男</v>
      </c>
      <c r="F20" s="5" t="str">
        <f>IFERROR(__xludf.DUMMYFUNCTION("""COMPUTED_VALUE"""),"MUA")</f>
        <v>MUA</v>
      </c>
      <c r="G20" s="5" t="str">
        <f>IFERROR(__xludf.DUMMYFUNCTION("""COMPUTED_VALUE"""),"○出場")</f>
        <v>○出場</v>
      </c>
      <c r="H20" s="5">
        <f>IFERROR(__xludf.DUMMYFUNCTION("""COMPUTED_VALUE"""),528161.0)</f>
        <v>528161</v>
      </c>
      <c r="I20" s="5" t="str">
        <f>IFERROR(__xludf.DUMMYFUNCTION("""COMPUTED_VALUE"""),"×参加しない")</f>
        <v>×参加しない</v>
      </c>
      <c r="J20" s="5" t="str">
        <f>IFERROR(__xludf.DUMMYFUNCTION("""COMPUTED_VALUE"""),"不泊申請待ち")</f>
        <v>不泊申請待ち</v>
      </c>
      <c r="K20" s="12">
        <f t="shared" si="2"/>
        <v>1</v>
      </c>
    </row>
    <row r="21" ht="19.5" customHeight="1">
      <c r="A21" s="5">
        <f>IFERROR(__xludf.DUMMYFUNCTION("""COMPUTED_VALUE"""),220308.0)</f>
        <v>220308</v>
      </c>
      <c r="B21" s="5" t="str">
        <f>IFERROR(__xludf.DUMMYFUNCTION("""COMPUTED_VALUE"""),"平塚空")</f>
        <v>平塚空</v>
      </c>
      <c r="C21" s="5" t="str">
        <f>IFERROR(__xludf.DUMMYFUNCTION("""COMPUTED_VALUE"""),"ひらつかかなた")</f>
        <v>ひらつかかなた</v>
      </c>
      <c r="D21" s="5">
        <f>IFERROR(__xludf.DUMMYFUNCTION("""COMPUTED_VALUE"""),2.0)</f>
        <v>2</v>
      </c>
      <c r="E21" s="5" t="str">
        <f>IFERROR(__xludf.DUMMYFUNCTION("""COMPUTED_VALUE"""),"男")</f>
        <v>男</v>
      </c>
      <c r="F21" s="5" t="str">
        <f>IFERROR(__xludf.DUMMYFUNCTION("""COMPUTED_VALUE"""),"MUA")</f>
        <v>MUA</v>
      </c>
      <c r="G21" s="5" t="str">
        <f>IFERROR(__xludf.DUMMYFUNCTION("""COMPUTED_VALUE"""),"○出場")</f>
        <v>○出場</v>
      </c>
      <c r="H21" s="5">
        <f>IFERROR(__xludf.DUMMYFUNCTION("""COMPUTED_VALUE"""),528162.0)</f>
        <v>528162</v>
      </c>
      <c r="I21" s="5" t="str">
        <f>IFERROR(__xludf.DUMMYFUNCTION("""COMPUTED_VALUE"""),"×参加しない")</f>
        <v>×参加しない</v>
      </c>
      <c r="J21" s="5" t="str">
        <f>IFERROR(__xludf.DUMMYFUNCTION("""COMPUTED_VALUE"""),"不泊申請待ち")</f>
        <v>不泊申請待ち</v>
      </c>
      <c r="K21" s="12">
        <f t="shared" si="2"/>
        <v>1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>
        <f>IFERROR(__xludf.DUMMYFUNCTION("""COMPUTED_VALUE"""),220309.0)</f>
        <v>220309</v>
      </c>
      <c r="B22" s="5" t="str">
        <f>IFERROR(__xludf.DUMMYFUNCTION("""COMPUTED_VALUE"""),"森田龍雲")</f>
        <v>森田龍雲</v>
      </c>
      <c r="C22" s="5" t="str">
        <f>IFERROR(__xludf.DUMMYFUNCTION("""COMPUTED_VALUE"""),"もりたりゅううん")</f>
        <v>もりたりゅううん</v>
      </c>
      <c r="D22" s="5">
        <f>IFERROR(__xludf.DUMMYFUNCTION("""COMPUTED_VALUE"""),2.0)</f>
        <v>2</v>
      </c>
      <c r="E22" s="5" t="str">
        <f>IFERROR(__xludf.DUMMYFUNCTION("""COMPUTED_VALUE"""),"男")</f>
        <v>男</v>
      </c>
      <c r="F22" s="5" t="str">
        <f>IFERROR(__xludf.DUMMYFUNCTION("""COMPUTED_VALUE"""),"MUA")</f>
        <v>MUA</v>
      </c>
      <c r="G22" s="5" t="str">
        <f>IFERROR(__xludf.DUMMYFUNCTION("""COMPUTED_VALUE"""),"○出場")</f>
        <v>○出場</v>
      </c>
      <c r="H22" s="5">
        <f>IFERROR(__xludf.DUMMYFUNCTION("""COMPUTED_VALUE"""),528163.0)</f>
        <v>528163</v>
      </c>
      <c r="I22" s="5" t="str">
        <f>IFERROR(__xludf.DUMMYFUNCTION("""COMPUTED_VALUE"""),"×参加しない")</f>
        <v>×参加しない</v>
      </c>
      <c r="J22" s="5" t="str">
        <f>IFERROR(__xludf.DUMMYFUNCTION("""COMPUTED_VALUE"""),"不泊申請待ち")</f>
        <v>不泊申請待ち</v>
      </c>
      <c r="K22" s="12">
        <f t="shared" si="2"/>
        <v>1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>
        <f>IFERROR(__xludf.DUMMYFUNCTION("""COMPUTED_VALUE"""),120308.0)</f>
        <v>120308</v>
      </c>
      <c r="B23" s="5" t="str">
        <f>IFERROR(__xludf.DUMMYFUNCTION("""COMPUTED_VALUE"""),"酒川卓登")</f>
        <v>酒川卓登</v>
      </c>
      <c r="C23" s="5" t="str">
        <f>IFERROR(__xludf.DUMMYFUNCTION("""COMPUTED_VALUE"""),"さけがわたくと")</f>
        <v>さけがわたくと</v>
      </c>
      <c r="D23" s="5">
        <f>IFERROR(__xludf.DUMMYFUNCTION("""COMPUTED_VALUE"""),3.0)</f>
        <v>3</v>
      </c>
      <c r="E23" s="5" t="str">
        <f>IFERROR(__xludf.DUMMYFUNCTION("""COMPUTED_VALUE"""),"男")</f>
        <v>男</v>
      </c>
      <c r="F23" s="5" t="str">
        <f>IFERROR(__xludf.DUMMYFUNCTION("""COMPUTED_VALUE"""),"MUA")</f>
        <v>MUA</v>
      </c>
      <c r="G23" s="5" t="str">
        <f>IFERROR(__xludf.DUMMYFUNCTION("""COMPUTED_VALUE"""),"○出場")</f>
        <v>○出場</v>
      </c>
      <c r="H23" s="5">
        <f>IFERROR(__xludf.DUMMYFUNCTION("""COMPUTED_VALUE"""),528164.0)</f>
        <v>528164</v>
      </c>
      <c r="I23" s="5" t="str">
        <f>IFERROR(__xludf.DUMMYFUNCTION("""COMPUTED_VALUE"""),"×参加しない")</f>
        <v>×参加しない</v>
      </c>
      <c r="J23" s="5" t="str">
        <f>IFERROR(__xludf.DUMMYFUNCTION("""COMPUTED_VALUE"""),"不泊申請待ち")</f>
        <v>不泊申請待ち</v>
      </c>
      <c r="K23" s="12">
        <f t="shared" si="2"/>
        <v>1</v>
      </c>
      <c r="M23" s="2" t="str">
        <f>IFERROR(__xludf.DUMMYFUNCTION("FILTER('オフィシャル'!$B$2:$B$65,'オフィシャル'!$A$2:$A$65=A1)"),"丸山幸太")</f>
        <v>丸山幸太</v>
      </c>
      <c r="N23" s="4"/>
      <c r="O23" s="2" t="str">
        <f>IFERROR(__xludf.DUMMYFUNCTION("FILTER('オフィシャル'!$C$2:$C$65,'オフィシャル'!$A$2:$A$65=A1)"),"まるやまこうた")</f>
        <v>まるやまこうた</v>
      </c>
      <c r="P23" s="3"/>
      <c r="Q23" s="5" t="str">
        <f>IFERROR(__xludf.DUMMYFUNCTION("FILTER('オフィシャル'!$D$2:$D$65,'オフィシャル'!$A$2:$A$65=A1)"),"男")</f>
        <v>男</v>
      </c>
      <c r="R23" s="2" t="str">
        <f>IFERROR(__xludf.DUMMYFUNCTION("FILTER('オフィシャル'!$E$2:$E$65,'オフィシャル'!$A$2:$A$65=A1)"),"×しない")</f>
        <v>×しない</v>
      </c>
      <c r="S23" s="4"/>
      <c r="T23" s="14" t="str">
        <f>IFERROR(__xludf.DUMMYFUNCTION("FILTER('オフィシャル'!$F$2:$F$65,'オフィシャル'!$A$2:$A$65=A1)"),"不泊申請待ち")</f>
        <v>不泊申請待ち</v>
      </c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>
        <f>IFERROR(__xludf.DUMMYFUNCTION("""COMPUTED_VALUE"""),120317.0)</f>
        <v>120317</v>
      </c>
      <c r="B24" s="5" t="str">
        <f>IFERROR(__xludf.DUMMYFUNCTION("""COMPUTED_VALUE"""),"八巻伶門")</f>
        <v>八巻伶門</v>
      </c>
      <c r="C24" s="5" t="str">
        <f>IFERROR(__xludf.DUMMYFUNCTION("""COMPUTED_VALUE"""),"やまきれもん")</f>
        <v>やまきれもん</v>
      </c>
      <c r="D24" s="5">
        <f>IFERROR(__xludf.DUMMYFUNCTION("""COMPUTED_VALUE"""),3.0)</f>
        <v>3</v>
      </c>
      <c r="E24" s="5" t="str">
        <f>IFERROR(__xludf.DUMMYFUNCTION("""COMPUTED_VALUE"""),"男")</f>
        <v>男</v>
      </c>
      <c r="F24" s="5" t="str">
        <f>IFERROR(__xludf.DUMMYFUNCTION("""COMPUTED_VALUE"""),"MUA")</f>
        <v>MUA</v>
      </c>
      <c r="G24" s="5" t="str">
        <f>IFERROR(__xludf.DUMMYFUNCTION("""COMPUTED_VALUE"""),"○出場")</f>
        <v>○出場</v>
      </c>
      <c r="H24" s="5">
        <f>IFERROR(__xludf.DUMMYFUNCTION("""COMPUTED_VALUE"""),528165.0)</f>
        <v>528165</v>
      </c>
      <c r="I24" s="5" t="str">
        <f>IFERROR(__xludf.DUMMYFUNCTION("""COMPUTED_VALUE"""),"×参加しない")</f>
        <v>×参加しない</v>
      </c>
      <c r="J24" s="5" t="str">
        <f>IFERROR(__xludf.DUMMYFUNCTION("""COMPUTED_VALUE"""),"不泊申請待ち")</f>
        <v>不泊申請待ち</v>
      </c>
      <c r="K24" s="12">
        <f t="shared" si="2"/>
        <v>1</v>
      </c>
      <c r="M24" s="2" t="str">
        <f>IFERROR(__xludf.DUMMYFUNCTION("""COMPUTED_VALUE"""),"坂本慧")</f>
        <v>坂本慧</v>
      </c>
      <c r="N24" s="4"/>
      <c r="O24" s="2" t="str">
        <f>IFERROR(__xludf.DUMMYFUNCTION("""COMPUTED_VALUE"""),"さかもとさとる")</f>
        <v>さかもとさとる</v>
      </c>
      <c r="P24" s="3"/>
      <c r="Q24" s="5" t="str">
        <f>IFERROR(__xludf.DUMMYFUNCTION("""COMPUTED_VALUE"""),"男")</f>
        <v>男</v>
      </c>
      <c r="R24" s="2" t="str">
        <f>IFERROR(__xludf.DUMMYFUNCTION("""COMPUTED_VALUE"""),"×しない")</f>
        <v>×しない</v>
      </c>
      <c r="S24" s="4"/>
      <c r="T24" s="14" t="str">
        <f>IFERROR(__xludf.DUMMYFUNCTION("""COMPUTED_VALUE"""),"不泊申請待ち")</f>
        <v>不泊申請待ち</v>
      </c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>
        <f>IFERROR(__xludf.DUMMYFUNCTION("""COMPUTED_VALUE"""),120320.0)</f>
        <v>120320</v>
      </c>
      <c r="B25" s="5" t="str">
        <f>IFERROR(__xludf.DUMMYFUNCTION("""COMPUTED_VALUE"""),"澤野祐希")</f>
        <v>澤野祐希</v>
      </c>
      <c r="C25" s="5" t="str">
        <f>IFERROR(__xludf.DUMMYFUNCTION("""COMPUTED_VALUE"""),"さわのゆうき")</f>
        <v>さわのゆうき</v>
      </c>
      <c r="D25" s="5">
        <f>IFERROR(__xludf.DUMMYFUNCTION("""COMPUTED_VALUE"""),3.0)</f>
        <v>3</v>
      </c>
      <c r="E25" s="5" t="str">
        <f>IFERROR(__xludf.DUMMYFUNCTION("""COMPUTED_VALUE"""),"男")</f>
        <v>男</v>
      </c>
      <c r="F25" s="5" t="str">
        <f>IFERROR(__xludf.DUMMYFUNCTION("""COMPUTED_VALUE"""),"MUA")</f>
        <v>MUA</v>
      </c>
      <c r="G25" s="5" t="str">
        <f>IFERROR(__xludf.DUMMYFUNCTION("""COMPUTED_VALUE"""),"○出場")</f>
        <v>○出場</v>
      </c>
      <c r="H25" s="5">
        <f>IFERROR(__xludf.DUMMYFUNCTION("""COMPUTED_VALUE"""),528166.0)</f>
        <v>528166</v>
      </c>
      <c r="I25" s="5" t="str">
        <f>IFERROR(__xludf.DUMMYFUNCTION("""COMPUTED_VALUE"""),"○参加する")</f>
        <v>○参加する</v>
      </c>
      <c r="J25" s="5"/>
      <c r="K25" s="12">
        <f t="shared" si="2"/>
        <v>1</v>
      </c>
      <c r="M25" s="2" t="str">
        <f>IFERROR(__xludf.DUMMYFUNCTION("""COMPUTED_VALUE"""),"上西柳太")</f>
        <v>上西柳太</v>
      </c>
      <c r="N25" s="4"/>
      <c r="O25" s="2" t="str">
        <f>IFERROR(__xludf.DUMMYFUNCTION("""COMPUTED_VALUE"""),"うえにしりゅうた")</f>
        <v>うえにしりゅうた</v>
      </c>
      <c r="P25" s="3"/>
      <c r="Q25" s="19" t="str">
        <f>IFERROR(__xludf.DUMMYFUNCTION("""COMPUTED_VALUE"""),"男")</f>
        <v>男</v>
      </c>
      <c r="R25" s="2" t="str">
        <f>IFERROR(__xludf.DUMMYFUNCTION("""COMPUTED_VALUE"""),"×しない")</f>
        <v>×しない</v>
      </c>
      <c r="S25" s="4"/>
      <c r="T25" s="20" t="str">
        <f>IFERROR(__xludf.DUMMYFUNCTION("""COMPUTED_VALUE"""),"不泊申請待ち")</f>
        <v>不泊申請待ち</v>
      </c>
      <c r="U25" s="15"/>
    </row>
    <row r="26" ht="19.5" customHeight="1">
      <c r="A26" s="5">
        <f>IFERROR(__xludf.DUMMYFUNCTION("""COMPUTED_VALUE"""),20303.0)</f>
        <v>20303</v>
      </c>
      <c r="B26" s="5" t="str">
        <f>IFERROR(__xludf.DUMMYFUNCTION("""COMPUTED_VALUE"""),"市橋駿")</f>
        <v>市橋駿</v>
      </c>
      <c r="C26" s="5" t="str">
        <f>IFERROR(__xludf.DUMMYFUNCTION("""COMPUTED_VALUE"""),"いちはししゅん")</f>
        <v>いちはししゅん</v>
      </c>
      <c r="D26" s="5">
        <f>IFERROR(__xludf.DUMMYFUNCTION("""COMPUTED_VALUE"""),4.0)</f>
        <v>4</v>
      </c>
      <c r="E26" s="5" t="str">
        <f>IFERROR(__xludf.DUMMYFUNCTION("""COMPUTED_VALUE"""),"男")</f>
        <v>男</v>
      </c>
      <c r="F26" s="5" t="str">
        <f>IFERROR(__xludf.DUMMYFUNCTION("""COMPUTED_VALUE"""),"×欠場")</f>
        <v>×欠場</v>
      </c>
      <c r="G26" s="5" t="str">
        <f>IFERROR(__xludf.DUMMYFUNCTION("""COMPUTED_VALUE"""),"○出場")</f>
        <v>○出場</v>
      </c>
      <c r="H26" s="5">
        <f>IFERROR(__xludf.DUMMYFUNCTION("""COMPUTED_VALUE"""),528167.0)</f>
        <v>528167</v>
      </c>
      <c r="I26" s="5" t="str">
        <f>IFERROR(__xludf.DUMMYFUNCTION("""COMPUTED_VALUE"""),"×参加しない")</f>
        <v>×参加しない</v>
      </c>
      <c r="J26" s="5" t="str">
        <f>IFERROR(__xludf.DUMMYFUNCTION("""COMPUTED_VALUE"""),"不泊申請待ち")</f>
        <v>不泊申請待ち</v>
      </c>
      <c r="K26" s="12">
        <f t="shared" si="2"/>
        <v>1</v>
      </c>
      <c r="M26" s="2" t="str">
        <f>IFERROR(__xludf.DUMMYFUNCTION("""COMPUTED_VALUE"""),"若林海人")</f>
        <v>若林海人</v>
      </c>
      <c r="N26" s="4"/>
      <c r="O26" s="2" t="str">
        <f>IFERROR(__xludf.DUMMYFUNCTION("""COMPUTED_VALUE"""),"わかばやしかいと")</f>
        <v>わかばやしかいと</v>
      </c>
      <c r="P26" s="3"/>
      <c r="Q26" s="19" t="str">
        <f>IFERROR(__xludf.DUMMYFUNCTION("""COMPUTED_VALUE"""),"男")</f>
        <v>男</v>
      </c>
      <c r="R26" s="2" t="str">
        <f>IFERROR(__xludf.DUMMYFUNCTION("""COMPUTED_VALUE"""),"×しない")</f>
        <v>×しない</v>
      </c>
      <c r="S26" s="4"/>
      <c r="T26" s="20" t="str">
        <f>IFERROR(__xludf.DUMMYFUNCTION("""COMPUTED_VALUE"""),"不泊申請待ち")</f>
        <v>不泊申請待ち</v>
      </c>
      <c r="U26" s="15"/>
    </row>
    <row r="27" ht="19.5" customHeight="1">
      <c r="A27" s="5">
        <f>IFERROR(__xludf.DUMMYFUNCTION("""COMPUTED_VALUE"""),20304.0)</f>
        <v>20304</v>
      </c>
      <c r="B27" s="5" t="str">
        <f>IFERROR(__xludf.DUMMYFUNCTION("""COMPUTED_VALUE"""),"伊藤滉太")</f>
        <v>伊藤滉太</v>
      </c>
      <c r="C27" s="5" t="str">
        <f>IFERROR(__xludf.DUMMYFUNCTION("""COMPUTED_VALUE"""),"いとうこうた")</f>
        <v>いとうこうた</v>
      </c>
      <c r="D27" s="5">
        <f>IFERROR(__xludf.DUMMYFUNCTION("""COMPUTED_VALUE"""),4.0)</f>
        <v>4</v>
      </c>
      <c r="E27" s="5" t="str">
        <f>IFERROR(__xludf.DUMMYFUNCTION("""COMPUTED_VALUE"""),"男")</f>
        <v>男</v>
      </c>
      <c r="F27" s="5" t="str">
        <f>IFERROR(__xludf.DUMMYFUNCTION("""COMPUTED_VALUE"""),"×欠場")</f>
        <v>×欠場</v>
      </c>
      <c r="G27" s="5" t="str">
        <f>IFERROR(__xludf.DUMMYFUNCTION("""COMPUTED_VALUE"""),"○出場")</f>
        <v>○出場</v>
      </c>
      <c r="H27" s="5">
        <f>IFERROR(__xludf.DUMMYFUNCTION("""COMPUTED_VALUE"""),528168.0)</f>
        <v>528168</v>
      </c>
      <c r="I27" s="5" t="str">
        <f>IFERROR(__xludf.DUMMYFUNCTION("""COMPUTED_VALUE"""),"×参加しない")</f>
        <v>×参加しない</v>
      </c>
      <c r="J27" s="5" t="str">
        <f>IFERROR(__xludf.DUMMYFUNCTION("""COMPUTED_VALUE"""),"不泊申請待ち")</f>
        <v>不泊申請待ち</v>
      </c>
      <c r="K27" s="12">
        <f t="shared" si="2"/>
        <v>1</v>
      </c>
    </row>
    <row r="28" ht="19.5" customHeight="1">
      <c r="A28" s="5">
        <f>IFERROR(__xludf.DUMMYFUNCTION("""COMPUTED_VALUE"""),20306.0)</f>
        <v>20306</v>
      </c>
      <c r="B28" s="5" t="str">
        <f>IFERROR(__xludf.DUMMYFUNCTION("""COMPUTED_VALUE"""),"大石遥")</f>
        <v>大石遥</v>
      </c>
      <c r="C28" s="5" t="str">
        <f>IFERROR(__xludf.DUMMYFUNCTION("""COMPUTED_VALUE"""),"おおいしはるか")</f>
        <v>おおいしはるか</v>
      </c>
      <c r="D28" s="5">
        <f>IFERROR(__xludf.DUMMYFUNCTION("""COMPUTED_VALUE"""),4.0)</f>
        <v>4</v>
      </c>
      <c r="E28" s="5" t="str">
        <f>IFERROR(__xludf.DUMMYFUNCTION("""COMPUTED_VALUE"""),"女")</f>
        <v>女</v>
      </c>
      <c r="F28" s="5" t="str">
        <f>IFERROR(__xludf.DUMMYFUNCTION("""COMPUTED_VALUE"""),"WUA")</f>
        <v>WUA</v>
      </c>
      <c r="G28" s="5" t="str">
        <f>IFERROR(__xludf.DUMMYFUNCTION("""COMPUTED_VALUE"""),"○出場")</f>
        <v>○出場</v>
      </c>
      <c r="H28" s="5">
        <f>IFERROR(__xludf.DUMMYFUNCTION("""COMPUTED_VALUE"""),528169.0)</f>
        <v>528169</v>
      </c>
      <c r="I28" s="5" t="str">
        <f>IFERROR(__xludf.DUMMYFUNCTION("""COMPUTED_VALUE"""),"○参加する")</f>
        <v>○参加する</v>
      </c>
      <c r="J28" s="5"/>
      <c r="K28" s="12">
        <f t="shared" si="2"/>
        <v>1</v>
      </c>
    </row>
    <row r="29" ht="19.5" customHeight="1">
      <c r="A29" s="5">
        <f>IFERROR(__xludf.DUMMYFUNCTION("""COMPUTED_VALUE"""),20308.0)</f>
        <v>20308</v>
      </c>
      <c r="B29" s="5" t="str">
        <f>IFERROR(__xludf.DUMMYFUNCTION("""COMPUTED_VALUE"""),"岡田航大")</f>
        <v>岡田航大</v>
      </c>
      <c r="C29" s="5" t="str">
        <f>IFERROR(__xludf.DUMMYFUNCTION("""COMPUTED_VALUE"""),"おかだこうだい")</f>
        <v>おかだこうだい</v>
      </c>
      <c r="D29" s="5">
        <f>IFERROR(__xludf.DUMMYFUNCTION("""COMPUTED_VALUE"""),4.0)</f>
        <v>4</v>
      </c>
      <c r="E29" s="5" t="str">
        <f>IFERROR(__xludf.DUMMYFUNCTION("""COMPUTED_VALUE"""),"男")</f>
        <v>男</v>
      </c>
      <c r="F29" s="5" t="str">
        <f>IFERROR(__xludf.DUMMYFUNCTION("""COMPUTED_VALUE"""),"MUA")</f>
        <v>MUA</v>
      </c>
      <c r="G29" s="5" t="str">
        <f>IFERROR(__xludf.DUMMYFUNCTION("""COMPUTED_VALUE"""),"○出場")</f>
        <v>○出場</v>
      </c>
      <c r="H29" s="5">
        <f>IFERROR(__xludf.DUMMYFUNCTION("""COMPUTED_VALUE"""),528170.0)</f>
        <v>528170</v>
      </c>
      <c r="I29" s="5" t="str">
        <f>IFERROR(__xludf.DUMMYFUNCTION("""COMPUTED_VALUE"""),"×参加しない")</f>
        <v>×参加しない</v>
      </c>
      <c r="J29" s="5" t="str">
        <f>IFERROR(__xludf.DUMMYFUNCTION("""COMPUTED_VALUE"""),"不泊申請待ち")</f>
        <v>不泊申請待ち</v>
      </c>
      <c r="K29" s="12">
        <f t="shared" si="2"/>
        <v>1</v>
      </c>
    </row>
    <row r="30" ht="19.5" customHeight="1">
      <c r="A30" s="5">
        <f>IFERROR(__xludf.DUMMYFUNCTION("""COMPUTED_VALUE"""),20309.0)</f>
        <v>20309</v>
      </c>
      <c r="B30" s="5" t="str">
        <f>IFERROR(__xludf.DUMMYFUNCTION("""COMPUTED_VALUE"""),"神谷篤大")</f>
        <v>神谷篤大</v>
      </c>
      <c r="C30" s="5" t="str">
        <f>IFERROR(__xludf.DUMMYFUNCTION("""COMPUTED_VALUE"""),"かみやあつひろ")</f>
        <v>かみやあつひろ</v>
      </c>
      <c r="D30" s="5">
        <f>IFERROR(__xludf.DUMMYFUNCTION("""COMPUTED_VALUE"""),4.0)</f>
        <v>4</v>
      </c>
      <c r="E30" s="5" t="str">
        <f>IFERROR(__xludf.DUMMYFUNCTION("""COMPUTED_VALUE"""),"男")</f>
        <v>男</v>
      </c>
      <c r="F30" s="5" t="str">
        <f>IFERROR(__xludf.DUMMYFUNCTION("""COMPUTED_VALUE"""),"MUA")</f>
        <v>MUA</v>
      </c>
      <c r="G30" s="5" t="str">
        <f>IFERROR(__xludf.DUMMYFUNCTION("""COMPUTED_VALUE"""),"○出場")</f>
        <v>○出場</v>
      </c>
      <c r="H30" s="5">
        <f>IFERROR(__xludf.DUMMYFUNCTION("""COMPUTED_VALUE"""),528171.0)</f>
        <v>528171</v>
      </c>
      <c r="I30" s="5" t="str">
        <f>IFERROR(__xludf.DUMMYFUNCTION("""COMPUTED_VALUE"""),"○参加する")</f>
        <v>○参加する</v>
      </c>
      <c r="J30" s="5"/>
      <c r="K30" s="12">
        <f t="shared" si="2"/>
        <v>1</v>
      </c>
    </row>
    <row r="31" ht="19.5" customHeight="1">
      <c r="A31" s="5">
        <f>IFERROR(__xludf.DUMMYFUNCTION("""COMPUTED_VALUE"""),20311.0)</f>
        <v>20311</v>
      </c>
      <c r="B31" s="5" t="str">
        <f>IFERROR(__xludf.DUMMYFUNCTION("""COMPUTED_VALUE"""),"柴崎愛有")</f>
        <v>柴崎愛有</v>
      </c>
      <c r="C31" s="5" t="str">
        <f>IFERROR(__xludf.DUMMYFUNCTION("""COMPUTED_VALUE"""),"しばさきあいり")</f>
        <v>しばさきあいり</v>
      </c>
      <c r="D31" s="5">
        <f>IFERROR(__xludf.DUMMYFUNCTION("""COMPUTED_VALUE"""),4.0)</f>
        <v>4</v>
      </c>
      <c r="E31" s="5" t="str">
        <f>IFERROR(__xludf.DUMMYFUNCTION("""COMPUTED_VALUE"""),"女")</f>
        <v>女</v>
      </c>
      <c r="F31" s="5" t="str">
        <f>IFERROR(__xludf.DUMMYFUNCTION("""COMPUTED_VALUE"""),"WUA")</f>
        <v>WUA</v>
      </c>
      <c r="G31" s="5" t="str">
        <f>IFERROR(__xludf.DUMMYFUNCTION("""COMPUTED_VALUE"""),"○出場")</f>
        <v>○出場</v>
      </c>
      <c r="H31" s="5">
        <f>IFERROR(__xludf.DUMMYFUNCTION("""COMPUTED_VALUE"""),528172.0)</f>
        <v>528172</v>
      </c>
      <c r="I31" s="5" t="str">
        <f>IFERROR(__xludf.DUMMYFUNCTION("""COMPUTED_VALUE"""),"○参加する")</f>
        <v>○参加する</v>
      </c>
      <c r="J31" s="5"/>
      <c r="K31" s="12">
        <f t="shared" si="2"/>
        <v>1</v>
      </c>
    </row>
    <row r="32" ht="19.5" customHeight="1">
      <c r="A32" s="5">
        <f>IFERROR(__xludf.DUMMYFUNCTION("""COMPUTED_VALUE"""),20316.0)</f>
        <v>20316</v>
      </c>
      <c r="B32" s="5" t="str">
        <f>IFERROR(__xludf.DUMMYFUNCTION("""COMPUTED_VALUE"""),"羽鳥汐音")</f>
        <v>羽鳥汐音</v>
      </c>
      <c r="C32" s="5" t="str">
        <f>IFERROR(__xludf.DUMMYFUNCTION("""COMPUTED_VALUE"""),"はとりしおね")</f>
        <v>はとりしおね</v>
      </c>
      <c r="D32" s="5">
        <f>IFERROR(__xludf.DUMMYFUNCTION("""COMPUTED_VALUE"""),4.0)</f>
        <v>4</v>
      </c>
      <c r="E32" s="5" t="str">
        <f>IFERROR(__xludf.DUMMYFUNCTION("""COMPUTED_VALUE"""),"女")</f>
        <v>女</v>
      </c>
      <c r="F32" s="5" t="str">
        <f>IFERROR(__xludf.DUMMYFUNCTION("""COMPUTED_VALUE"""),"WUA")</f>
        <v>WUA</v>
      </c>
      <c r="G32" s="5" t="str">
        <f>IFERROR(__xludf.DUMMYFUNCTION("""COMPUTED_VALUE"""),"○出場")</f>
        <v>○出場</v>
      </c>
      <c r="H32" s="5">
        <f>IFERROR(__xludf.DUMMYFUNCTION("""COMPUTED_VALUE"""),528173.0)</f>
        <v>528173</v>
      </c>
      <c r="I32" s="5" t="str">
        <f>IFERROR(__xludf.DUMMYFUNCTION("""COMPUTED_VALUE"""),"○参加する")</f>
        <v>○参加する</v>
      </c>
      <c r="J32" s="5"/>
      <c r="K32" s="12">
        <f t="shared" si="2"/>
        <v>1</v>
      </c>
    </row>
    <row r="33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12">
        <f t="shared" si="2"/>
        <v>0</v>
      </c>
    </row>
    <row r="34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12">
        <f t="shared" si="2"/>
        <v>0</v>
      </c>
    </row>
    <row r="3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12">
        <f t="shared" si="2"/>
        <v>0</v>
      </c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12">
        <f t="shared" si="2"/>
        <v>0</v>
      </c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12">
        <f t="shared" si="2"/>
        <v>0</v>
      </c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12">
        <f t="shared" si="2"/>
        <v>0</v>
      </c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12">
        <f t="shared" si="2"/>
        <v>0</v>
      </c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12">
        <f t="shared" si="2"/>
        <v>0</v>
      </c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12">
        <f t="shared" si="2"/>
        <v>0</v>
      </c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12">
        <f t="shared" si="2"/>
        <v>0</v>
      </c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12">
        <f t="shared" si="2"/>
        <v>0</v>
      </c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12">
        <f t="shared" si="2"/>
        <v>0</v>
      </c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2">
        <f t="shared" si="2"/>
        <v>0</v>
      </c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2">
        <f t="shared" si="2"/>
        <v>0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467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7</v>
      </c>
      <c r="E4" s="7">
        <f t="shared" ref="E4:E8" si="1">C4*D4</f>
        <v>59500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2</v>
      </c>
      <c r="E5" s="7">
        <f t="shared" si="1"/>
        <v>16000</v>
      </c>
    </row>
    <row r="6" ht="19.5" customHeight="1">
      <c r="A6" s="2" t="s">
        <v>9</v>
      </c>
      <c r="B6" s="4"/>
      <c r="C6" s="7">
        <v>32700.0</v>
      </c>
      <c r="D6" s="5">
        <f>D4+D5</f>
        <v>9</v>
      </c>
      <c r="E6" s="7">
        <f t="shared" si="1"/>
        <v>294300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1</v>
      </c>
      <c r="E7" s="7">
        <f t="shared" si="1"/>
        <v>4500</v>
      </c>
    </row>
    <row r="8" ht="19.5" customHeight="1">
      <c r="A8" s="2" t="s">
        <v>11</v>
      </c>
      <c r="B8" s="4"/>
      <c r="C8" s="7">
        <v>500.0</v>
      </c>
      <c r="D8" s="5">
        <f>D4-COUNT(H14:H201)</f>
        <v>3</v>
      </c>
      <c r="E8" s="7">
        <f t="shared" si="1"/>
        <v>1500</v>
      </c>
    </row>
    <row r="9" ht="19.5" customHeight="1">
      <c r="A9" s="9"/>
      <c r="B9" s="9"/>
      <c r="C9" s="9"/>
      <c r="D9" s="10" t="s">
        <v>5</v>
      </c>
      <c r="E9" s="11">
        <f>SUM(E4:E8)</f>
        <v>375800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IFERROR(__xludf.DUMMYFUNCTION("FILTER('個人別エントリー'!C2:L1018,'個人別エントリー'!B2:B1018=A1)"),330201.0)</f>
        <v>330201</v>
      </c>
      <c r="B14" s="5" t="str">
        <f>IFERROR(__xludf.DUMMYFUNCTION("""COMPUTED_VALUE"""),"竹林茜音")</f>
        <v>竹林茜音</v>
      </c>
      <c r="C14" s="5" t="str">
        <f>IFERROR(__xludf.DUMMYFUNCTION("""COMPUTED_VALUE"""),"たけばやしあかね")</f>
        <v>たけばやしあかね</v>
      </c>
      <c r="D14" s="5">
        <f>IFERROR(__xludf.DUMMYFUNCTION("""COMPUTED_VALUE"""),1.0)</f>
        <v>1</v>
      </c>
      <c r="E14" s="5" t="str">
        <f>IFERROR(__xludf.DUMMYFUNCTION("""COMPUTED_VALUE"""),"女")</f>
        <v>女</v>
      </c>
      <c r="F14" s="5" t="str">
        <f>IFERROR(__xludf.DUMMYFUNCTION("""COMPUTED_VALUE"""),"WUF")</f>
        <v>WUF</v>
      </c>
      <c r="G14" s="5" t="str">
        <f>IFERROR(__xludf.DUMMYFUNCTION("""COMPUTED_VALUE"""),"○出場")</f>
        <v>○出場</v>
      </c>
      <c r="H14" s="5"/>
      <c r="I14" s="5" t="str">
        <f>IFERROR(__xludf.DUMMYFUNCTION("""COMPUTED_VALUE"""),"○参加する")</f>
        <v>○参加する</v>
      </c>
      <c r="J14" s="5"/>
      <c r="K14" s="12">
        <f t="shared" ref="K14:K201" si="2">IF(AND(OR(F14="×欠場",F14=""),OR(G14="×欠場",G14="")),0,1)</f>
        <v>1</v>
      </c>
      <c r="M14" s="5" t="str">
        <f>IFERROR(__xludf.DUMMYFUNCTION("FILTER('リレー内容'!$C$2:$K$51,'リレー内容'!$B$2:$B$51=A1)"),"×欠場")</f>
        <v>×欠場</v>
      </c>
      <c r="N14" s="5" t="str">
        <f>IFERROR(__xludf.DUMMYFUNCTION("""COMPUTED_VALUE"""),"○出場")</f>
        <v>○出場</v>
      </c>
      <c r="O14" s="5">
        <f>IFERROR(__xludf.DUMMYFUNCTION("""COMPUTED_VALUE"""),0.0)</f>
        <v>0</v>
      </c>
      <c r="P14" s="5">
        <f>IFERROR(__xludf.DUMMYFUNCTION("""COMPUTED_VALUE"""),1.0)</f>
        <v>1</v>
      </c>
      <c r="Q14" s="5">
        <f>IFERROR(__xludf.DUMMYFUNCTION("""COMPUTED_VALUE"""),0.0)</f>
        <v>0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IFERROR(__xludf.DUMMYFUNCTION("""COMPUTED_VALUE"""),330202.0)</f>
        <v>330202</v>
      </c>
      <c r="B15" s="5" t="str">
        <f>IFERROR(__xludf.DUMMYFUNCTION("""COMPUTED_VALUE"""),"町田千優")</f>
        <v>町田千優</v>
      </c>
      <c r="C15" s="5" t="str">
        <f>IFERROR(__xludf.DUMMYFUNCTION("""COMPUTED_VALUE"""),"まちだちひろ")</f>
        <v>まちだちひろ</v>
      </c>
      <c r="D15" s="5">
        <f>IFERROR(__xludf.DUMMYFUNCTION("""COMPUTED_VALUE"""),1.0)</f>
        <v>1</v>
      </c>
      <c r="E15" s="5" t="str">
        <f>IFERROR(__xludf.DUMMYFUNCTION("""COMPUTED_VALUE"""),"女")</f>
        <v>女</v>
      </c>
      <c r="F15" s="5" t="str">
        <f>IFERROR(__xludf.DUMMYFUNCTION("""COMPUTED_VALUE"""),"WUF")</f>
        <v>WUF</v>
      </c>
      <c r="G15" s="5" t="str">
        <f>IFERROR(__xludf.DUMMYFUNCTION("""COMPUTED_VALUE"""),"○出場")</f>
        <v>○出場</v>
      </c>
      <c r="H15" s="5"/>
      <c r="I15" s="5" t="str">
        <f>IFERROR(__xludf.DUMMYFUNCTION("""COMPUTED_VALUE"""),"○参加する")</f>
        <v>○参加する</v>
      </c>
      <c r="J15" s="5"/>
      <c r="K15" s="12">
        <f t="shared" si="2"/>
        <v>1</v>
      </c>
    </row>
    <row r="16" ht="19.5" customHeight="1">
      <c r="A16" s="5">
        <f>IFERROR(__xludf.DUMMYFUNCTION("""COMPUTED_VALUE"""),330203.0)</f>
        <v>330203</v>
      </c>
      <c r="B16" s="5" t="str">
        <f>IFERROR(__xludf.DUMMYFUNCTION("""COMPUTED_VALUE"""),"森彩葉")</f>
        <v>森彩葉</v>
      </c>
      <c r="C16" s="5" t="str">
        <f>IFERROR(__xludf.DUMMYFUNCTION("""COMPUTED_VALUE"""),"もりあやは")</f>
        <v>もりあやは</v>
      </c>
      <c r="D16" s="5">
        <f>IFERROR(__xludf.DUMMYFUNCTION("""COMPUTED_VALUE"""),1.0)</f>
        <v>1</v>
      </c>
      <c r="E16" s="5" t="str">
        <f>IFERROR(__xludf.DUMMYFUNCTION("""COMPUTED_VALUE"""),"女")</f>
        <v>女</v>
      </c>
      <c r="F16" s="5" t="str">
        <f>IFERROR(__xludf.DUMMYFUNCTION("""COMPUTED_VALUE"""),"WUF")</f>
        <v>WUF</v>
      </c>
      <c r="G16" s="5" t="str">
        <f>IFERROR(__xludf.DUMMYFUNCTION("""COMPUTED_VALUE"""),"○出場")</f>
        <v>○出場</v>
      </c>
      <c r="H16" s="5"/>
      <c r="I16" s="5" t="str">
        <f>IFERROR(__xludf.DUMMYFUNCTION("""COMPUTED_VALUE"""),"○参加する")</f>
        <v>○参加する</v>
      </c>
      <c r="J16" s="5"/>
      <c r="K16" s="12">
        <f t="shared" si="2"/>
        <v>1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>
        <f>IFERROR(__xludf.DUMMYFUNCTION("""COMPUTED_VALUE"""),230201.0)</f>
        <v>230201</v>
      </c>
      <c r="B17" s="5" t="str">
        <f>IFERROR(__xludf.DUMMYFUNCTION("""COMPUTED_VALUE"""),"砂田優萌子")</f>
        <v>砂田優萌子</v>
      </c>
      <c r="C17" s="5" t="str">
        <f>IFERROR(__xludf.DUMMYFUNCTION("""COMPUTED_VALUE"""),"すなだゆめこ")</f>
        <v>すなだゆめこ</v>
      </c>
      <c r="D17" s="5">
        <f>IFERROR(__xludf.DUMMYFUNCTION("""COMPUTED_VALUE"""),2.0)</f>
        <v>2</v>
      </c>
      <c r="E17" s="5" t="str">
        <f>IFERROR(__xludf.DUMMYFUNCTION("""COMPUTED_VALUE"""),"女")</f>
        <v>女</v>
      </c>
      <c r="F17" s="5" t="str">
        <f>IFERROR(__xludf.DUMMYFUNCTION("""COMPUTED_VALUE"""),"WUA")</f>
        <v>WUA</v>
      </c>
      <c r="G17" s="5" t="str">
        <f>IFERROR(__xludf.DUMMYFUNCTION("""COMPUTED_VALUE"""),"○出場")</f>
        <v>○出場</v>
      </c>
      <c r="H17" s="5">
        <f>IFERROR(__xludf.DUMMYFUNCTION("""COMPUTED_VALUE"""),265847.0)</f>
        <v>265847</v>
      </c>
      <c r="I17" s="5" t="str">
        <f>IFERROR(__xludf.DUMMYFUNCTION("""COMPUTED_VALUE"""),"○参加する")</f>
        <v>○参加する</v>
      </c>
      <c r="J17" s="5"/>
      <c r="K17" s="12">
        <f t="shared" si="2"/>
        <v>1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>
        <f>IFERROR(__xludf.DUMMYFUNCTION("""COMPUTED_VALUE"""),230202.0)</f>
        <v>230202</v>
      </c>
      <c r="B18" s="5" t="str">
        <f>IFERROR(__xludf.DUMMYFUNCTION("""COMPUTED_VALUE"""),"松塚乃愛")</f>
        <v>松塚乃愛</v>
      </c>
      <c r="C18" s="5" t="str">
        <f>IFERROR(__xludf.DUMMYFUNCTION("""COMPUTED_VALUE"""),"まつづかのあ")</f>
        <v>まつづかのあ</v>
      </c>
      <c r="D18" s="5">
        <f>IFERROR(__xludf.DUMMYFUNCTION("""COMPUTED_VALUE"""),2.0)</f>
        <v>2</v>
      </c>
      <c r="E18" s="5" t="str">
        <f>IFERROR(__xludf.DUMMYFUNCTION("""COMPUTED_VALUE"""),"女")</f>
        <v>女</v>
      </c>
      <c r="F18" s="5" t="str">
        <f>IFERROR(__xludf.DUMMYFUNCTION("""COMPUTED_VALUE"""),"WUA")</f>
        <v>WUA</v>
      </c>
      <c r="G18" s="5" t="str">
        <f>IFERROR(__xludf.DUMMYFUNCTION("""COMPUTED_VALUE"""),"○出場")</f>
        <v>○出場</v>
      </c>
      <c r="H18" s="5">
        <f>IFERROR(__xludf.DUMMYFUNCTION("""COMPUTED_VALUE"""),265848.0)</f>
        <v>265848</v>
      </c>
      <c r="I18" s="5" t="str">
        <f>IFERROR(__xludf.DUMMYFUNCTION("""COMPUTED_VALUE"""),"○参加する")</f>
        <v>○参加する</v>
      </c>
      <c r="J18" s="5"/>
      <c r="K18" s="12">
        <f t="shared" si="2"/>
        <v>1</v>
      </c>
      <c r="M18" s="5" t="s">
        <v>28</v>
      </c>
      <c r="N18" s="2" t="s">
        <v>467</v>
      </c>
      <c r="O18" s="4"/>
      <c r="P18" s="2" t="s">
        <v>2321</v>
      </c>
      <c r="Q18" s="3"/>
      <c r="R18" s="3"/>
      <c r="S18" s="3"/>
      <c r="T18" s="3"/>
      <c r="U18" s="4"/>
    </row>
    <row r="19" ht="19.5" customHeight="1">
      <c r="A19" s="5">
        <f>IFERROR(__xludf.DUMMYFUNCTION("""COMPUTED_VALUE"""),230203.0)</f>
        <v>230203</v>
      </c>
      <c r="B19" s="5" t="str">
        <f>IFERROR(__xludf.DUMMYFUNCTION("""COMPUTED_VALUE"""),"宮田鈴子")</f>
        <v>宮田鈴子</v>
      </c>
      <c r="C19" s="5" t="str">
        <f>IFERROR(__xludf.DUMMYFUNCTION("""COMPUTED_VALUE"""),"みやたすずこ")</f>
        <v>みやたすずこ</v>
      </c>
      <c r="D19" s="5">
        <f>IFERROR(__xludf.DUMMYFUNCTION("""COMPUTED_VALUE"""),2.0)</f>
        <v>2</v>
      </c>
      <c r="E19" s="5" t="str">
        <f>IFERROR(__xludf.DUMMYFUNCTION("""COMPUTED_VALUE"""),"女")</f>
        <v>女</v>
      </c>
      <c r="F19" s="5" t="str">
        <f>IFERROR(__xludf.DUMMYFUNCTION("""COMPUTED_VALUE"""),"WUA")</f>
        <v>WUA</v>
      </c>
      <c r="G19" s="5" t="str">
        <f>IFERROR(__xludf.DUMMYFUNCTION("""COMPUTED_VALUE"""),"○出場")</f>
        <v>○出場</v>
      </c>
      <c r="H19" s="5">
        <f>IFERROR(__xludf.DUMMYFUNCTION("""COMPUTED_VALUE"""),265849.0)</f>
        <v>265849</v>
      </c>
      <c r="I19" s="5" t="str">
        <f>IFERROR(__xludf.DUMMYFUNCTION("""COMPUTED_VALUE"""),"○参加する")</f>
        <v>○参加する</v>
      </c>
      <c r="J19" s="5"/>
      <c r="K19" s="12">
        <f t="shared" si="2"/>
        <v>1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>
        <f>IFERROR(__xludf.DUMMYFUNCTION("""COMPUTED_VALUE"""),230204.0)</f>
        <v>230204</v>
      </c>
      <c r="B20" s="5" t="str">
        <f>IFERROR(__xludf.DUMMYFUNCTION("""COMPUTED_VALUE"""),"山中望")</f>
        <v>山中望</v>
      </c>
      <c r="C20" s="5" t="str">
        <f>IFERROR(__xludf.DUMMYFUNCTION("""COMPUTED_VALUE"""),"やまなかのぞみ")</f>
        <v>やまなかのぞみ</v>
      </c>
      <c r="D20" s="5">
        <f>IFERROR(__xludf.DUMMYFUNCTION("""COMPUTED_VALUE"""),2.0)</f>
        <v>2</v>
      </c>
      <c r="E20" s="5" t="str">
        <f>IFERROR(__xludf.DUMMYFUNCTION("""COMPUTED_VALUE"""),"女")</f>
        <v>女</v>
      </c>
      <c r="F20" s="5" t="str">
        <f>IFERROR(__xludf.DUMMYFUNCTION("""COMPUTED_VALUE"""),"WUA")</f>
        <v>WUA</v>
      </c>
      <c r="G20" s="5" t="str">
        <f>IFERROR(__xludf.DUMMYFUNCTION("""COMPUTED_VALUE"""),"○出場")</f>
        <v>○出場</v>
      </c>
      <c r="H20" s="5">
        <f>IFERROR(__xludf.DUMMYFUNCTION("""COMPUTED_VALUE"""),265850.0)</f>
        <v>265850</v>
      </c>
      <c r="I20" s="5" t="str">
        <f>IFERROR(__xludf.DUMMYFUNCTION("""COMPUTED_VALUE"""),"○参加する")</f>
        <v>○参加する</v>
      </c>
      <c r="J20" s="5"/>
      <c r="K20" s="12">
        <f t="shared" si="2"/>
        <v>1</v>
      </c>
    </row>
    <row r="21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12">
        <f t="shared" si="2"/>
        <v>0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2">
        <f t="shared" si="2"/>
        <v>0</v>
      </c>
      <c r="M23" s="2" t="str">
        <f>IFERROR(__xludf.DUMMYFUNCTION("FILTER('オフィシャル'!$B$2:$B$65,'オフィシャル'!$A$2:$A$65=A1)"),"長瀬麻里子")</f>
        <v>長瀬麻里子</v>
      </c>
      <c r="N23" s="4"/>
      <c r="O23" s="2" t="str">
        <f>IFERROR(__xludf.DUMMYFUNCTION("FILTER('オフィシャル'!$C$2:$C$65,'オフィシャル'!$A$2:$A$65=A1)"),"ながせまりこ")</f>
        <v>ながせまりこ</v>
      </c>
      <c r="P23" s="3"/>
      <c r="Q23" s="5" t="str">
        <f>IFERROR(__xludf.DUMMYFUNCTION("FILTER('オフィシャル'!$D$2:$D$65,'オフィシャル'!$A$2:$A$65=A1)"),"女")</f>
        <v>女</v>
      </c>
      <c r="R23" s="2" t="str">
        <f>IFERROR(__xludf.DUMMYFUNCTION("FILTER('オフィシャル'!$E$2:$E$65,'オフィシャル'!$A$2:$A$65=A1)"),"○する")</f>
        <v>○する</v>
      </c>
      <c r="S23" s="4"/>
      <c r="T23" s="14" t="str">
        <f>IFERROR(__xludf.DUMMYFUNCTION("FILTER('オフィシャル'!$F$2:$F$65,'オフィシャル'!$A$2:$A$65=A1)"),"")</f>
        <v/>
      </c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2">
        <f t="shared" si="2"/>
        <v>0</v>
      </c>
      <c r="M24" s="2" t="str">
        <f>IFERROR(__xludf.DUMMYFUNCTION("""COMPUTED_VALUE"""),"伊藤嵩真")</f>
        <v>伊藤嵩真</v>
      </c>
      <c r="N24" s="4"/>
      <c r="O24" s="2" t="str">
        <f>IFERROR(__xludf.DUMMYFUNCTION("""COMPUTED_VALUE"""),"いとうたかまさ")</f>
        <v>いとうたかまさ</v>
      </c>
      <c r="P24" s="3"/>
      <c r="Q24" s="5" t="str">
        <f>IFERROR(__xludf.DUMMYFUNCTION("""COMPUTED_VALUE"""),"男")</f>
        <v>男</v>
      </c>
      <c r="R24" s="2" t="str">
        <f>IFERROR(__xludf.DUMMYFUNCTION("""COMPUTED_VALUE"""),"○する")</f>
        <v>○する</v>
      </c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12">
        <f t="shared" si="2"/>
        <v>0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12">
        <f t="shared" si="2"/>
        <v>0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12">
        <f t="shared" si="2"/>
        <v>0</v>
      </c>
    </row>
    <row r="28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12">
        <f t="shared" si="2"/>
        <v>0</v>
      </c>
    </row>
    <row r="29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12">
        <f t="shared" si="2"/>
        <v>0</v>
      </c>
    </row>
    <row r="3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12">
        <f t="shared" si="2"/>
        <v>0</v>
      </c>
    </row>
    <row r="31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12">
        <f t="shared" si="2"/>
        <v>0</v>
      </c>
    </row>
    <row r="32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12">
        <f t="shared" si="2"/>
        <v>0</v>
      </c>
    </row>
    <row r="33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12">
        <f t="shared" si="2"/>
        <v>0</v>
      </c>
    </row>
    <row r="34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12">
        <f t="shared" si="2"/>
        <v>0</v>
      </c>
    </row>
    <row r="3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12">
        <f t="shared" si="2"/>
        <v>0</v>
      </c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12">
        <f t="shared" si="2"/>
        <v>0</v>
      </c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12">
        <f t="shared" si="2"/>
        <v>0</v>
      </c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12">
        <f t="shared" si="2"/>
        <v>0</v>
      </c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12">
        <f t="shared" si="2"/>
        <v>0</v>
      </c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12">
        <f t="shared" si="2"/>
        <v>0</v>
      </c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12">
        <f t="shared" si="2"/>
        <v>0</v>
      </c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12">
        <f t="shared" si="2"/>
        <v>0</v>
      </c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12">
        <f t="shared" si="2"/>
        <v>0</v>
      </c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12">
        <f t="shared" si="2"/>
        <v>0</v>
      </c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2">
        <f t="shared" si="2"/>
        <v>0</v>
      </c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2">
        <f t="shared" si="2"/>
        <v>0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482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20</v>
      </c>
      <c r="E4" s="7">
        <f t="shared" ref="E4:E8" si="1">C4*D4</f>
        <v>170000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3</v>
      </c>
      <c r="E5" s="7">
        <f t="shared" si="1"/>
        <v>24000</v>
      </c>
    </row>
    <row r="6" ht="19.5" customHeight="1">
      <c r="A6" s="2" t="s">
        <v>9</v>
      </c>
      <c r="B6" s="4"/>
      <c r="C6" s="7">
        <v>32700.0</v>
      </c>
      <c r="D6" s="5">
        <f>D4+D5</f>
        <v>23</v>
      </c>
      <c r="E6" s="7">
        <f t="shared" si="1"/>
        <v>752100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1</v>
      </c>
      <c r="E7" s="7">
        <f t="shared" si="1"/>
        <v>4500</v>
      </c>
    </row>
    <row r="8" ht="19.5" customHeight="1">
      <c r="A8" s="2" t="s">
        <v>11</v>
      </c>
      <c r="B8" s="4"/>
      <c r="C8" s="7">
        <v>500.0</v>
      </c>
      <c r="D8" s="5">
        <f>D4-COUNT(H14:H201)</f>
        <v>0</v>
      </c>
      <c r="E8" s="7">
        <f t="shared" si="1"/>
        <v>0</v>
      </c>
    </row>
    <row r="9" ht="19.5" customHeight="1">
      <c r="A9" s="9"/>
      <c r="B9" s="9"/>
      <c r="C9" s="9"/>
      <c r="D9" s="10" t="s">
        <v>5</v>
      </c>
      <c r="E9" s="11">
        <f>SUM(E4:E8)</f>
        <v>950600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IFERROR(__xludf.DUMMYFUNCTION("FILTER('個人別エントリー'!C2:L1018,'個人別エントリー'!B2:B1018=A1)"),330301.0)</f>
        <v>330301</v>
      </c>
      <c r="B14" s="5" t="str">
        <f>IFERROR(__xludf.DUMMYFUNCTION("""COMPUTED_VALUE"""),"鍛原秀顕")</f>
        <v>鍛原秀顕</v>
      </c>
      <c r="C14" s="5" t="str">
        <f>IFERROR(__xludf.DUMMYFUNCTION("""COMPUTED_VALUE"""),"かじわらひであき")</f>
        <v>かじわらひであき</v>
      </c>
      <c r="D14" s="5">
        <f>IFERROR(__xludf.DUMMYFUNCTION("""COMPUTED_VALUE"""),1.0)</f>
        <v>1</v>
      </c>
      <c r="E14" s="5" t="str">
        <f>IFERROR(__xludf.DUMMYFUNCTION("""COMPUTED_VALUE"""),"男")</f>
        <v>男</v>
      </c>
      <c r="F14" s="5" t="str">
        <f>IFERROR(__xludf.DUMMYFUNCTION("""COMPUTED_VALUE"""),"×欠場")</f>
        <v>×欠場</v>
      </c>
      <c r="G14" s="5" t="str">
        <f>IFERROR(__xludf.DUMMYFUNCTION("""COMPUTED_VALUE"""),"×欠場")</f>
        <v>×欠場</v>
      </c>
      <c r="H14" s="5"/>
      <c r="I14" s="5" t="str">
        <f>IFERROR(__xludf.DUMMYFUNCTION("""COMPUTED_VALUE"""),"×参加しない")</f>
        <v>×参加しない</v>
      </c>
      <c r="J14" s="5"/>
      <c r="K14" s="12">
        <f t="shared" ref="K14:K201" si="2">IF(AND(OR(F14="×欠場",F14=""),OR(G14="×欠場",G14="")),0,1)</f>
        <v>0</v>
      </c>
      <c r="M14" s="5" t="str">
        <f>IFERROR(__xludf.DUMMYFUNCTION("FILTER('リレー内容'!$C$2:$K$51,'リレー内容'!$B$2:$B$51=A1)"),"○出場")</f>
        <v>○出場</v>
      </c>
      <c r="N14" s="5" t="str">
        <f>IFERROR(__xludf.DUMMYFUNCTION("""COMPUTED_VALUE"""),"×欠場")</f>
        <v>×欠場</v>
      </c>
      <c r="O14" s="5">
        <f>IFERROR(__xludf.DUMMYFUNCTION("""COMPUTED_VALUE"""),5.0)</f>
        <v>5</v>
      </c>
      <c r="P14" s="5">
        <f>IFERROR(__xludf.DUMMYFUNCTION("""COMPUTED_VALUE"""),1.0)</f>
        <v>1</v>
      </c>
      <c r="Q14" s="5">
        <f>IFERROR(__xludf.DUMMYFUNCTION("""COMPUTED_VALUE"""),1.0)</f>
        <v>1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IFERROR(__xludf.DUMMYFUNCTION("""COMPUTED_VALUE"""),330302.0)</f>
        <v>330302</v>
      </c>
      <c r="B15" s="5" t="str">
        <f>IFERROR(__xludf.DUMMYFUNCTION("""COMPUTED_VALUE"""),"持地怜太朗")</f>
        <v>持地怜太朗</v>
      </c>
      <c r="C15" s="5" t="str">
        <f>IFERROR(__xludf.DUMMYFUNCTION("""COMPUTED_VALUE"""),"もちじりょうたろう")</f>
        <v>もちじりょうたろう</v>
      </c>
      <c r="D15" s="5">
        <f>IFERROR(__xludf.DUMMYFUNCTION("""COMPUTED_VALUE"""),1.0)</f>
        <v>1</v>
      </c>
      <c r="E15" s="5" t="str">
        <f>IFERROR(__xludf.DUMMYFUNCTION("""COMPUTED_VALUE"""),"男")</f>
        <v>男</v>
      </c>
      <c r="F15" s="5" t="str">
        <f>IFERROR(__xludf.DUMMYFUNCTION("""COMPUTED_VALUE"""),"MUF")</f>
        <v>MUF</v>
      </c>
      <c r="G15" s="5" t="str">
        <f>IFERROR(__xludf.DUMMYFUNCTION("""COMPUTED_VALUE"""),"○出場")</f>
        <v>○出場</v>
      </c>
      <c r="H15" s="5">
        <f>IFERROR(__xludf.DUMMYFUNCTION("""COMPUTED_VALUE"""),530634.0)</f>
        <v>530634</v>
      </c>
      <c r="I15" s="5" t="str">
        <f>IFERROR(__xludf.DUMMYFUNCTION("""COMPUTED_VALUE"""),"○参加する")</f>
        <v>○参加する</v>
      </c>
      <c r="J15" s="5"/>
      <c r="K15" s="12">
        <f t="shared" si="2"/>
        <v>1</v>
      </c>
    </row>
    <row r="16" ht="19.5" customHeight="1">
      <c r="A16" s="5">
        <f>IFERROR(__xludf.DUMMYFUNCTION("""COMPUTED_VALUE"""),330303.0)</f>
        <v>330303</v>
      </c>
      <c r="B16" s="5" t="str">
        <f>IFERROR(__xludf.DUMMYFUNCTION("""COMPUTED_VALUE"""),"岩渕大起")</f>
        <v>岩渕大起</v>
      </c>
      <c r="C16" s="5" t="str">
        <f>IFERROR(__xludf.DUMMYFUNCTION("""COMPUTED_VALUE"""),"いわぶちたいき")</f>
        <v>いわぶちたいき</v>
      </c>
      <c r="D16" s="5">
        <f>IFERROR(__xludf.DUMMYFUNCTION("""COMPUTED_VALUE"""),1.0)</f>
        <v>1</v>
      </c>
      <c r="E16" s="5" t="str">
        <f>IFERROR(__xludf.DUMMYFUNCTION("""COMPUTED_VALUE"""),"男")</f>
        <v>男</v>
      </c>
      <c r="F16" s="5" t="str">
        <f>IFERROR(__xludf.DUMMYFUNCTION("""COMPUTED_VALUE"""),"MUF")</f>
        <v>MUF</v>
      </c>
      <c r="G16" s="5" t="str">
        <f>IFERROR(__xludf.DUMMYFUNCTION("""COMPUTED_VALUE"""),"○出場")</f>
        <v>○出場</v>
      </c>
      <c r="H16" s="5">
        <f>IFERROR(__xludf.DUMMYFUNCTION("""COMPUTED_VALUE"""),530633.0)</f>
        <v>530633</v>
      </c>
      <c r="I16" s="5" t="str">
        <f>IFERROR(__xludf.DUMMYFUNCTION("""COMPUTED_VALUE"""),"○参加する")</f>
        <v>○参加する</v>
      </c>
      <c r="J16" s="5"/>
      <c r="K16" s="12">
        <f t="shared" si="2"/>
        <v>1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>
        <f>IFERROR(__xludf.DUMMYFUNCTION("""COMPUTED_VALUE"""),330304.0)</f>
        <v>330304</v>
      </c>
      <c r="B17" s="5" t="str">
        <f>IFERROR(__xludf.DUMMYFUNCTION("""COMPUTED_VALUE"""),"滝沢悠斗")</f>
        <v>滝沢悠斗</v>
      </c>
      <c r="C17" s="5" t="str">
        <f>IFERROR(__xludf.DUMMYFUNCTION("""COMPUTED_VALUE"""),"たきさわゆうと")</f>
        <v>たきさわゆうと</v>
      </c>
      <c r="D17" s="5">
        <f>IFERROR(__xludf.DUMMYFUNCTION("""COMPUTED_VALUE"""),1.0)</f>
        <v>1</v>
      </c>
      <c r="E17" s="5" t="str">
        <f>IFERROR(__xludf.DUMMYFUNCTION("""COMPUTED_VALUE"""),"男")</f>
        <v>男</v>
      </c>
      <c r="F17" s="5" t="str">
        <f>IFERROR(__xludf.DUMMYFUNCTION("""COMPUTED_VALUE"""),"×欠場")</f>
        <v>×欠場</v>
      </c>
      <c r="G17" s="5" t="str">
        <f>IFERROR(__xludf.DUMMYFUNCTION("""COMPUTED_VALUE"""),"×欠場")</f>
        <v>×欠場</v>
      </c>
      <c r="H17" s="5"/>
      <c r="I17" s="5" t="str">
        <f>IFERROR(__xludf.DUMMYFUNCTION("""COMPUTED_VALUE"""),"×参加しない")</f>
        <v>×参加しない</v>
      </c>
      <c r="J17" s="5"/>
      <c r="K17" s="12">
        <f t="shared" si="2"/>
        <v>0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>
        <f>IFERROR(__xludf.DUMMYFUNCTION("""COMPUTED_VALUE"""),330305.0)</f>
        <v>330305</v>
      </c>
      <c r="B18" s="5" t="str">
        <f>IFERROR(__xludf.DUMMYFUNCTION("""COMPUTED_VALUE"""),"野口優心")</f>
        <v>野口優心</v>
      </c>
      <c r="C18" s="5" t="str">
        <f>IFERROR(__xludf.DUMMYFUNCTION("""COMPUTED_VALUE"""),"のぐちゆうしん")</f>
        <v>のぐちゆうしん</v>
      </c>
      <c r="D18" s="5">
        <f>IFERROR(__xludf.DUMMYFUNCTION("""COMPUTED_VALUE"""),1.0)</f>
        <v>1</v>
      </c>
      <c r="E18" s="5" t="str">
        <f>IFERROR(__xludf.DUMMYFUNCTION("""COMPUTED_VALUE"""),"男")</f>
        <v>男</v>
      </c>
      <c r="F18" s="5" t="str">
        <f>IFERROR(__xludf.DUMMYFUNCTION("""COMPUTED_VALUE"""),"×欠場")</f>
        <v>×欠場</v>
      </c>
      <c r="G18" s="5" t="str">
        <f>IFERROR(__xludf.DUMMYFUNCTION("""COMPUTED_VALUE"""),"×欠場")</f>
        <v>×欠場</v>
      </c>
      <c r="H18" s="5"/>
      <c r="I18" s="5" t="str">
        <f>IFERROR(__xludf.DUMMYFUNCTION("""COMPUTED_VALUE"""),"×参加しない")</f>
        <v>×参加しない</v>
      </c>
      <c r="J18" s="5"/>
      <c r="K18" s="12">
        <f t="shared" si="2"/>
        <v>0</v>
      </c>
      <c r="M18" s="5" t="s">
        <v>27</v>
      </c>
      <c r="N18" s="2" t="s">
        <v>482</v>
      </c>
      <c r="O18" s="4"/>
      <c r="P18" s="2" t="s">
        <v>2322</v>
      </c>
      <c r="Q18" s="3"/>
      <c r="R18" s="3"/>
      <c r="S18" s="3"/>
      <c r="T18" s="3"/>
      <c r="U18" s="4"/>
    </row>
    <row r="19" ht="19.5" customHeight="1">
      <c r="A19" s="5">
        <f>IFERROR(__xludf.DUMMYFUNCTION("""COMPUTED_VALUE"""),330306.0)</f>
        <v>330306</v>
      </c>
      <c r="B19" s="5" t="str">
        <f>IFERROR(__xludf.DUMMYFUNCTION("""COMPUTED_VALUE"""),"田口凜太郎")</f>
        <v>田口凜太郎</v>
      </c>
      <c r="C19" s="5" t="str">
        <f>IFERROR(__xludf.DUMMYFUNCTION("""COMPUTED_VALUE"""),"たぐちりんたろう")</f>
        <v>たぐちりんたろう</v>
      </c>
      <c r="D19" s="5">
        <f>IFERROR(__xludf.DUMMYFUNCTION("""COMPUTED_VALUE"""),1.0)</f>
        <v>1</v>
      </c>
      <c r="E19" s="5" t="str">
        <f>IFERROR(__xludf.DUMMYFUNCTION("""COMPUTED_VALUE"""),"男")</f>
        <v>男</v>
      </c>
      <c r="F19" s="5" t="str">
        <f>IFERROR(__xludf.DUMMYFUNCTION("""COMPUTED_VALUE"""),"×欠場")</f>
        <v>×欠場</v>
      </c>
      <c r="G19" s="5" t="str">
        <f>IFERROR(__xludf.DUMMYFUNCTION("""COMPUTED_VALUE"""),"×欠場")</f>
        <v>×欠場</v>
      </c>
      <c r="H19" s="5"/>
      <c r="I19" s="5" t="str">
        <f>IFERROR(__xludf.DUMMYFUNCTION("""COMPUTED_VALUE"""),"×参加しない")</f>
        <v>×参加しない</v>
      </c>
      <c r="J19" s="5"/>
      <c r="K19" s="12">
        <f t="shared" si="2"/>
        <v>0</v>
      </c>
      <c r="M19" s="5" t="s">
        <v>29</v>
      </c>
      <c r="N19" s="2" t="s">
        <v>482</v>
      </c>
      <c r="O19" s="4"/>
      <c r="P19" s="2" t="s">
        <v>2323</v>
      </c>
      <c r="Q19" s="3"/>
      <c r="R19" s="3"/>
      <c r="S19" s="3"/>
      <c r="T19" s="3"/>
      <c r="U19" s="4"/>
    </row>
    <row r="20" ht="19.5" customHeight="1">
      <c r="A20" s="5">
        <f>IFERROR(__xludf.DUMMYFUNCTION("""COMPUTED_VALUE"""),330307.0)</f>
        <v>330307</v>
      </c>
      <c r="B20" s="5" t="str">
        <f>IFERROR(__xludf.DUMMYFUNCTION("""COMPUTED_VALUE"""),"成川遼大")</f>
        <v>成川遼大</v>
      </c>
      <c r="C20" s="5" t="str">
        <f>IFERROR(__xludf.DUMMYFUNCTION("""COMPUTED_VALUE"""),"なるかわりょうた")</f>
        <v>なるかわりょうた</v>
      </c>
      <c r="D20" s="5">
        <f>IFERROR(__xludf.DUMMYFUNCTION("""COMPUTED_VALUE"""),1.0)</f>
        <v>1</v>
      </c>
      <c r="E20" s="5" t="str">
        <f>IFERROR(__xludf.DUMMYFUNCTION("""COMPUTED_VALUE"""),"男")</f>
        <v>男</v>
      </c>
      <c r="F20" s="5" t="str">
        <f>IFERROR(__xludf.DUMMYFUNCTION("""COMPUTED_VALUE"""),"×欠場")</f>
        <v>×欠場</v>
      </c>
      <c r="G20" s="5" t="str">
        <f>IFERROR(__xludf.DUMMYFUNCTION("""COMPUTED_VALUE"""),"×欠場")</f>
        <v>×欠場</v>
      </c>
      <c r="H20" s="5"/>
      <c r="I20" s="5" t="str">
        <f>IFERROR(__xludf.DUMMYFUNCTION("""COMPUTED_VALUE"""),"×参加しない")</f>
        <v>×参加しない</v>
      </c>
      <c r="J20" s="5"/>
      <c r="K20" s="12">
        <f t="shared" si="2"/>
        <v>0</v>
      </c>
    </row>
    <row r="21" ht="19.5" customHeight="1">
      <c r="A21" s="5">
        <f>IFERROR(__xludf.DUMMYFUNCTION("""COMPUTED_VALUE"""),330308.0)</f>
        <v>330308</v>
      </c>
      <c r="B21" s="5" t="str">
        <f>IFERROR(__xludf.DUMMYFUNCTION("""COMPUTED_VALUE"""),"西田隼人")</f>
        <v>西田隼人</v>
      </c>
      <c r="C21" s="5" t="str">
        <f>IFERROR(__xludf.DUMMYFUNCTION("""COMPUTED_VALUE"""),"にしだはやと")</f>
        <v>にしだはやと</v>
      </c>
      <c r="D21" s="5">
        <f>IFERROR(__xludf.DUMMYFUNCTION("""COMPUTED_VALUE"""),1.0)</f>
        <v>1</v>
      </c>
      <c r="E21" s="5" t="str">
        <f>IFERROR(__xludf.DUMMYFUNCTION("""COMPUTED_VALUE"""),"男")</f>
        <v>男</v>
      </c>
      <c r="F21" s="5" t="str">
        <f>IFERROR(__xludf.DUMMYFUNCTION("""COMPUTED_VALUE"""),"×欠場")</f>
        <v>×欠場</v>
      </c>
      <c r="G21" s="5" t="str">
        <f>IFERROR(__xludf.DUMMYFUNCTION("""COMPUTED_VALUE"""),"×欠場")</f>
        <v>×欠場</v>
      </c>
      <c r="H21" s="5"/>
      <c r="I21" s="5" t="str">
        <f>IFERROR(__xludf.DUMMYFUNCTION("""COMPUTED_VALUE"""),"×参加しない")</f>
        <v>×参加しない</v>
      </c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>
        <f>IFERROR(__xludf.DUMMYFUNCTION("""COMPUTED_VALUE"""),330309.0)</f>
        <v>330309</v>
      </c>
      <c r="B22" s="5" t="str">
        <f>IFERROR(__xludf.DUMMYFUNCTION("""COMPUTED_VALUE"""),"河合優飛")</f>
        <v>河合優飛</v>
      </c>
      <c r="C22" s="5" t="str">
        <f>IFERROR(__xludf.DUMMYFUNCTION("""COMPUTED_VALUE"""),"かわいゆうひ")</f>
        <v>かわいゆうひ</v>
      </c>
      <c r="D22" s="5">
        <f>IFERROR(__xludf.DUMMYFUNCTION("""COMPUTED_VALUE"""),1.0)</f>
        <v>1</v>
      </c>
      <c r="E22" s="5" t="str">
        <f>IFERROR(__xludf.DUMMYFUNCTION("""COMPUTED_VALUE"""),"男")</f>
        <v>男</v>
      </c>
      <c r="F22" s="5" t="str">
        <f>IFERROR(__xludf.DUMMYFUNCTION("""COMPUTED_VALUE"""),"MUF")</f>
        <v>MUF</v>
      </c>
      <c r="G22" s="5" t="str">
        <f>IFERROR(__xludf.DUMMYFUNCTION("""COMPUTED_VALUE"""),"○出場")</f>
        <v>○出場</v>
      </c>
      <c r="H22" s="5">
        <f>IFERROR(__xludf.DUMMYFUNCTION("""COMPUTED_VALUE"""),530631.0)</f>
        <v>530631</v>
      </c>
      <c r="I22" s="5" t="str">
        <f>IFERROR(__xludf.DUMMYFUNCTION("""COMPUTED_VALUE"""),"○参加する")</f>
        <v>○参加する</v>
      </c>
      <c r="J22" s="5"/>
      <c r="K22" s="12">
        <f t="shared" si="2"/>
        <v>1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>
        <f>IFERROR(__xludf.DUMMYFUNCTION("""COMPUTED_VALUE"""),330310.0)</f>
        <v>330310</v>
      </c>
      <c r="B23" s="5" t="str">
        <f>IFERROR(__xludf.DUMMYFUNCTION("""COMPUTED_VALUE"""),"長谷川沙良")</f>
        <v>長谷川沙良</v>
      </c>
      <c r="C23" s="5" t="str">
        <f>IFERROR(__xludf.DUMMYFUNCTION("""COMPUTED_VALUE"""),"はせがわさら")</f>
        <v>はせがわさら</v>
      </c>
      <c r="D23" s="5">
        <f>IFERROR(__xludf.DUMMYFUNCTION("""COMPUTED_VALUE"""),1.0)</f>
        <v>1</v>
      </c>
      <c r="E23" s="5" t="str">
        <f>IFERROR(__xludf.DUMMYFUNCTION("""COMPUTED_VALUE"""),"女")</f>
        <v>女</v>
      </c>
      <c r="F23" s="5" t="str">
        <f>IFERROR(__xludf.DUMMYFUNCTION("""COMPUTED_VALUE"""),"×欠場")</f>
        <v>×欠場</v>
      </c>
      <c r="G23" s="5" t="str">
        <f>IFERROR(__xludf.DUMMYFUNCTION("""COMPUTED_VALUE"""),"×欠場")</f>
        <v>×欠場</v>
      </c>
      <c r="H23" s="5"/>
      <c r="I23" s="5" t="str">
        <f>IFERROR(__xludf.DUMMYFUNCTION("""COMPUTED_VALUE"""),"×参加しない")</f>
        <v>×参加しない</v>
      </c>
      <c r="J23" s="5"/>
      <c r="K23" s="12">
        <f t="shared" si="2"/>
        <v>0</v>
      </c>
      <c r="M23" s="2" t="str">
        <f>IFERROR(__xludf.DUMMYFUNCTION("FILTER('オフィシャル'!$B$2:$B$65,'オフィシャル'!$A$2:$A$65=A1)"),"清水俊祐")</f>
        <v>清水俊祐</v>
      </c>
      <c r="N23" s="4"/>
      <c r="O23" s="2" t="str">
        <f>IFERROR(__xludf.DUMMYFUNCTION("FILTER('オフィシャル'!$C$2:$C$65,'オフィシャル'!$A$2:$A$65=A1)"),"しみずしゅんすけ")</f>
        <v>しみずしゅんすけ</v>
      </c>
      <c r="P23" s="3"/>
      <c r="Q23" s="5" t="str">
        <f>IFERROR(__xludf.DUMMYFUNCTION("FILTER('オフィシャル'!$D$2:$D$65,'オフィシャル'!$A$2:$A$65=A1)"),"男")</f>
        <v>男</v>
      </c>
      <c r="R23" s="2" t="str">
        <f>IFERROR(__xludf.DUMMYFUNCTION("FILTER('オフィシャル'!$E$2:$E$65,'オフィシャル'!$A$2:$A$65=A1)"),"○する")</f>
        <v>○する</v>
      </c>
      <c r="S23" s="4"/>
      <c r="T23" s="14" t="str">
        <f>IFERROR(__xludf.DUMMYFUNCTION("FILTER('オフィシャル'!$F$2:$F$65,'オフィシャル'!$A$2:$A$65=A1)"),"")</f>
        <v/>
      </c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>
        <f>IFERROR(__xludf.DUMMYFUNCTION("""COMPUTED_VALUE"""),330311.0)</f>
        <v>330311</v>
      </c>
      <c r="B24" s="5" t="str">
        <f>IFERROR(__xludf.DUMMYFUNCTION("""COMPUTED_VALUE"""),"西尾智奏")</f>
        <v>西尾智奏</v>
      </c>
      <c r="C24" s="5" t="str">
        <f>IFERROR(__xludf.DUMMYFUNCTION("""COMPUTED_VALUE"""),"にしおともかな")</f>
        <v>にしおともかな</v>
      </c>
      <c r="D24" s="5">
        <f>IFERROR(__xludf.DUMMYFUNCTION("""COMPUTED_VALUE"""),1.0)</f>
        <v>1</v>
      </c>
      <c r="E24" s="5" t="str">
        <f>IFERROR(__xludf.DUMMYFUNCTION("""COMPUTED_VALUE"""),"男")</f>
        <v>男</v>
      </c>
      <c r="F24" s="5" t="str">
        <f>IFERROR(__xludf.DUMMYFUNCTION("""COMPUTED_VALUE"""),"MUF")</f>
        <v>MUF</v>
      </c>
      <c r="G24" s="5" t="str">
        <f>IFERROR(__xludf.DUMMYFUNCTION("""COMPUTED_VALUE"""),"○出場")</f>
        <v>○出場</v>
      </c>
      <c r="H24" s="5">
        <f>IFERROR(__xludf.DUMMYFUNCTION("""COMPUTED_VALUE"""),531143.0)</f>
        <v>531143</v>
      </c>
      <c r="I24" s="5" t="str">
        <f>IFERROR(__xludf.DUMMYFUNCTION("""COMPUTED_VALUE"""),"○参加する")</f>
        <v>○参加する</v>
      </c>
      <c r="J24" s="5"/>
      <c r="K24" s="12">
        <f t="shared" si="2"/>
        <v>1</v>
      </c>
      <c r="M24" s="2" t="str">
        <f>IFERROR(__xludf.DUMMYFUNCTION("""COMPUTED_VALUE"""),"伊藤頌太")</f>
        <v>伊藤頌太</v>
      </c>
      <c r="N24" s="4"/>
      <c r="O24" s="2" t="str">
        <f>IFERROR(__xludf.DUMMYFUNCTION("""COMPUTED_VALUE"""),"いとうしょうた")</f>
        <v>いとうしょうた</v>
      </c>
      <c r="P24" s="3"/>
      <c r="Q24" s="5" t="str">
        <f>IFERROR(__xludf.DUMMYFUNCTION("""COMPUTED_VALUE"""),"男")</f>
        <v>男</v>
      </c>
      <c r="R24" s="2" t="str">
        <f>IFERROR(__xludf.DUMMYFUNCTION("""COMPUTED_VALUE"""),"×しない")</f>
        <v>×しない</v>
      </c>
      <c r="S24" s="4"/>
      <c r="T24" s="49">
        <f>IFERROR(__xludf.DUMMYFUNCTION("""COMPUTED_VALUE"""),45366.0)</f>
        <v>45366</v>
      </c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>
        <f>IFERROR(__xludf.DUMMYFUNCTION("""COMPUTED_VALUE"""),330312.0)</f>
        <v>330312</v>
      </c>
      <c r="B25" s="5" t="str">
        <f>IFERROR(__xludf.DUMMYFUNCTION("""COMPUTED_VALUE"""),"瀧澤陸")</f>
        <v>瀧澤陸</v>
      </c>
      <c r="C25" s="5" t="str">
        <f>IFERROR(__xludf.DUMMYFUNCTION("""COMPUTED_VALUE"""),"たきざわりく")</f>
        <v>たきざわりく</v>
      </c>
      <c r="D25" s="5">
        <f>IFERROR(__xludf.DUMMYFUNCTION("""COMPUTED_VALUE"""),1.0)</f>
        <v>1</v>
      </c>
      <c r="E25" s="5" t="str">
        <f>IFERROR(__xludf.DUMMYFUNCTION("""COMPUTED_VALUE"""),"男")</f>
        <v>男</v>
      </c>
      <c r="F25" s="5" t="str">
        <f>IFERROR(__xludf.DUMMYFUNCTION("""COMPUTED_VALUE"""),"×欠場")</f>
        <v>×欠場</v>
      </c>
      <c r="G25" s="5" t="str">
        <f>IFERROR(__xludf.DUMMYFUNCTION("""COMPUTED_VALUE"""),"×欠場")</f>
        <v>×欠場</v>
      </c>
      <c r="H25" s="5"/>
      <c r="I25" s="5" t="str">
        <f>IFERROR(__xludf.DUMMYFUNCTION("""COMPUTED_VALUE"""),"×参加しない")</f>
        <v>×参加しない</v>
      </c>
      <c r="J25" s="5"/>
      <c r="K25" s="12">
        <f t="shared" si="2"/>
        <v>0</v>
      </c>
      <c r="M25" s="2" t="str">
        <f>IFERROR(__xludf.DUMMYFUNCTION("""COMPUTED_VALUE"""),"用松知樹")</f>
        <v>用松知樹</v>
      </c>
      <c r="N25" s="4"/>
      <c r="O25" s="2" t="str">
        <f>IFERROR(__xludf.DUMMYFUNCTION("""COMPUTED_VALUE"""),"ようまつともき")</f>
        <v>ようまつともき</v>
      </c>
      <c r="P25" s="3"/>
      <c r="Q25" s="19" t="str">
        <f>IFERROR(__xludf.DUMMYFUNCTION("""COMPUTED_VALUE"""),"男")</f>
        <v>男</v>
      </c>
      <c r="R25" s="2" t="str">
        <f>IFERROR(__xludf.DUMMYFUNCTION("""COMPUTED_VALUE"""),"○する")</f>
        <v>○する</v>
      </c>
      <c r="S25" s="4"/>
      <c r="T25" s="20"/>
      <c r="U25" s="15"/>
    </row>
    <row r="26" ht="19.5" customHeight="1">
      <c r="A26" s="5">
        <f>IFERROR(__xludf.DUMMYFUNCTION("""COMPUTED_VALUE"""),330313.0)</f>
        <v>330313</v>
      </c>
      <c r="B26" s="5" t="str">
        <f>IFERROR(__xludf.DUMMYFUNCTION("""COMPUTED_VALUE"""),"篠田良太")</f>
        <v>篠田良太</v>
      </c>
      <c r="C26" s="5" t="str">
        <f>IFERROR(__xludf.DUMMYFUNCTION("""COMPUTED_VALUE"""),"しのだりょうた")</f>
        <v>しのだりょうた</v>
      </c>
      <c r="D26" s="5">
        <f>IFERROR(__xludf.DUMMYFUNCTION("""COMPUTED_VALUE"""),1.0)</f>
        <v>1</v>
      </c>
      <c r="E26" s="5" t="str">
        <f>IFERROR(__xludf.DUMMYFUNCTION("""COMPUTED_VALUE"""),"男")</f>
        <v>男</v>
      </c>
      <c r="F26" s="5" t="str">
        <f>IFERROR(__xludf.DUMMYFUNCTION("""COMPUTED_VALUE"""),"×欠場")</f>
        <v>×欠場</v>
      </c>
      <c r="G26" s="5" t="str">
        <f>IFERROR(__xludf.DUMMYFUNCTION("""COMPUTED_VALUE"""),"×欠場")</f>
        <v>×欠場</v>
      </c>
      <c r="H26" s="5"/>
      <c r="I26" s="5" t="str">
        <f>IFERROR(__xludf.DUMMYFUNCTION("""COMPUTED_VALUE"""),"×参加しない")</f>
        <v>×参加しない</v>
      </c>
      <c r="J26" s="5"/>
      <c r="K26" s="12">
        <f t="shared" si="2"/>
        <v>0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>
        <f>IFERROR(__xludf.DUMMYFUNCTION("""COMPUTED_VALUE"""),330314.0)</f>
        <v>330314</v>
      </c>
      <c r="B27" s="5" t="str">
        <f>IFERROR(__xludf.DUMMYFUNCTION("""COMPUTED_VALUE"""),"矢野晶")</f>
        <v>矢野晶</v>
      </c>
      <c r="C27" s="5" t="str">
        <f>IFERROR(__xludf.DUMMYFUNCTION("""COMPUTED_VALUE"""),"やのあきら")</f>
        <v>やのあきら</v>
      </c>
      <c r="D27" s="5">
        <f>IFERROR(__xludf.DUMMYFUNCTION("""COMPUTED_VALUE"""),1.0)</f>
        <v>1</v>
      </c>
      <c r="E27" s="5" t="str">
        <f>IFERROR(__xludf.DUMMYFUNCTION("""COMPUTED_VALUE"""),"女")</f>
        <v>女</v>
      </c>
      <c r="F27" s="5" t="str">
        <f>IFERROR(__xludf.DUMMYFUNCTION("""COMPUTED_VALUE"""),"WUF")</f>
        <v>WUF</v>
      </c>
      <c r="G27" s="5" t="str">
        <f>IFERROR(__xludf.DUMMYFUNCTION("""COMPUTED_VALUE"""),"○出場")</f>
        <v>○出場</v>
      </c>
      <c r="H27" s="5">
        <f>IFERROR(__xludf.DUMMYFUNCTION("""COMPUTED_VALUE"""),531136.0)</f>
        <v>531136</v>
      </c>
      <c r="I27" s="5" t="str">
        <f>IFERROR(__xludf.DUMMYFUNCTION("""COMPUTED_VALUE"""),"○参加する")</f>
        <v>○参加する</v>
      </c>
      <c r="J27" s="5"/>
      <c r="K27" s="12">
        <f t="shared" si="2"/>
        <v>1</v>
      </c>
    </row>
    <row r="28" ht="19.5" customHeight="1">
      <c r="A28" s="5">
        <f>IFERROR(__xludf.DUMMYFUNCTION("""COMPUTED_VALUE"""),330315.0)</f>
        <v>330315</v>
      </c>
      <c r="B28" s="5" t="str">
        <f>IFERROR(__xludf.DUMMYFUNCTION("""COMPUTED_VALUE"""),"春海輝道")</f>
        <v>春海輝道</v>
      </c>
      <c r="C28" s="5" t="str">
        <f>IFERROR(__xludf.DUMMYFUNCTION("""COMPUTED_VALUE"""),"はるみてるみち")</f>
        <v>はるみてるみち</v>
      </c>
      <c r="D28" s="5">
        <f>IFERROR(__xludf.DUMMYFUNCTION("""COMPUTED_VALUE"""),1.0)</f>
        <v>1</v>
      </c>
      <c r="E28" s="5" t="str">
        <f>IFERROR(__xludf.DUMMYFUNCTION("""COMPUTED_VALUE"""),"男")</f>
        <v>男</v>
      </c>
      <c r="F28" s="5" t="str">
        <f>IFERROR(__xludf.DUMMYFUNCTION("""COMPUTED_VALUE"""),"×欠場")</f>
        <v>×欠場</v>
      </c>
      <c r="G28" s="5" t="str">
        <f>IFERROR(__xludf.DUMMYFUNCTION("""COMPUTED_VALUE"""),"×欠場")</f>
        <v>×欠場</v>
      </c>
      <c r="H28" s="5"/>
      <c r="I28" s="5" t="str">
        <f>IFERROR(__xludf.DUMMYFUNCTION("""COMPUTED_VALUE"""),"×参加しない")</f>
        <v>×参加しない</v>
      </c>
      <c r="J28" s="5"/>
      <c r="K28" s="12">
        <f t="shared" si="2"/>
        <v>0</v>
      </c>
    </row>
    <row r="29" ht="19.5" customHeight="1">
      <c r="A29" s="5">
        <f>IFERROR(__xludf.DUMMYFUNCTION("""COMPUTED_VALUE"""),330316.0)</f>
        <v>330316</v>
      </c>
      <c r="B29" s="5" t="str">
        <f>IFERROR(__xludf.DUMMYFUNCTION("""COMPUTED_VALUE"""),"徳田義博")</f>
        <v>徳田義博</v>
      </c>
      <c r="C29" s="5" t="str">
        <f>IFERROR(__xludf.DUMMYFUNCTION("""COMPUTED_VALUE"""),"とくだよしひろ")</f>
        <v>とくだよしひろ</v>
      </c>
      <c r="D29" s="5">
        <f>IFERROR(__xludf.DUMMYFUNCTION("""COMPUTED_VALUE"""),1.0)</f>
        <v>1</v>
      </c>
      <c r="E29" s="5" t="str">
        <f>IFERROR(__xludf.DUMMYFUNCTION("""COMPUTED_VALUE"""),"男")</f>
        <v>男</v>
      </c>
      <c r="F29" s="5" t="str">
        <f>IFERROR(__xludf.DUMMYFUNCTION("""COMPUTED_VALUE"""),"×欠場")</f>
        <v>×欠場</v>
      </c>
      <c r="G29" s="5" t="str">
        <f>IFERROR(__xludf.DUMMYFUNCTION("""COMPUTED_VALUE"""),"×欠場")</f>
        <v>×欠場</v>
      </c>
      <c r="H29" s="5"/>
      <c r="I29" s="5" t="str">
        <f>IFERROR(__xludf.DUMMYFUNCTION("""COMPUTED_VALUE"""),"×参加しない")</f>
        <v>×参加しない</v>
      </c>
      <c r="J29" s="5"/>
      <c r="K29" s="12">
        <f t="shared" si="2"/>
        <v>0</v>
      </c>
    </row>
    <row r="30" ht="19.5" customHeight="1">
      <c r="A30" s="5">
        <f>IFERROR(__xludf.DUMMYFUNCTION("""COMPUTED_VALUE"""),330317.0)</f>
        <v>330317</v>
      </c>
      <c r="B30" s="5" t="str">
        <f>IFERROR(__xludf.DUMMYFUNCTION("""COMPUTED_VALUE"""),"鈴木皓稀")</f>
        <v>鈴木皓稀</v>
      </c>
      <c r="C30" s="5" t="str">
        <f>IFERROR(__xludf.DUMMYFUNCTION("""COMPUTED_VALUE"""),"すずきこうき")</f>
        <v>すずきこうき</v>
      </c>
      <c r="D30" s="5">
        <f>IFERROR(__xludf.DUMMYFUNCTION("""COMPUTED_VALUE"""),1.0)</f>
        <v>1</v>
      </c>
      <c r="E30" s="5" t="str">
        <f>IFERROR(__xludf.DUMMYFUNCTION("""COMPUTED_VALUE"""),"男")</f>
        <v>男</v>
      </c>
      <c r="F30" s="5" t="str">
        <f>IFERROR(__xludf.DUMMYFUNCTION("""COMPUTED_VALUE"""),"×欠場")</f>
        <v>×欠場</v>
      </c>
      <c r="G30" s="5" t="str">
        <f>IFERROR(__xludf.DUMMYFUNCTION("""COMPUTED_VALUE"""),"×欠場")</f>
        <v>×欠場</v>
      </c>
      <c r="H30" s="5"/>
      <c r="I30" s="5" t="str">
        <f>IFERROR(__xludf.DUMMYFUNCTION("""COMPUTED_VALUE"""),"×参加しない")</f>
        <v>×参加しない</v>
      </c>
      <c r="J30" s="5"/>
      <c r="K30" s="12">
        <f t="shared" si="2"/>
        <v>0</v>
      </c>
    </row>
    <row r="31" ht="19.5" customHeight="1">
      <c r="A31" s="5">
        <f>IFERROR(__xludf.DUMMYFUNCTION("""COMPUTED_VALUE"""),330318.0)</f>
        <v>330318</v>
      </c>
      <c r="B31" s="5" t="str">
        <f>IFERROR(__xludf.DUMMYFUNCTION("""COMPUTED_VALUE"""),"河井洋太郎")</f>
        <v>河井洋太郎</v>
      </c>
      <c r="C31" s="5" t="str">
        <f>IFERROR(__xludf.DUMMYFUNCTION("""COMPUTED_VALUE"""),"かわいようたろう")</f>
        <v>かわいようたろう</v>
      </c>
      <c r="D31" s="5">
        <f>IFERROR(__xludf.DUMMYFUNCTION("""COMPUTED_VALUE"""),1.0)</f>
        <v>1</v>
      </c>
      <c r="E31" s="5" t="str">
        <f>IFERROR(__xludf.DUMMYFUNCTION("""COMPUTED_VALUE"""),"男")</f>
        <v>男</v>
      </c>
      <c r="F31" s="5" t="str">
        <f>IFERROR(__xludf.DUMMYFUNCTION("""COMPUTED_VALUE"""),"MUF")</f>
        <v>MUF</v>
      </c>
      <c r="G31" s="5" t="str">
        <f>IFERROR(__xludf.DUMMYFUNCTION("""COMPUTED_VALUE"""),"○出場")</f>
        <v>○出場</v>
      </c>
      <c r="H31" s="5">
        <f>IFERROR(__xludf.DUMMYFUNCTION("""COMPUTED_VALUE"""),524663.0)</f>
        <v>524663</v>
      </c>
      <c r="I31" s="5" t="str">
        <f>IFERROR(__xludf.DUMMYFUNCTION("""COMPUTED_VALUE"""),"○参加する")</f>
        <v>○参加する</v>
      </c>
      <c r="J31" s="5"/>
      <c r="K31" s="12">
        <f t="shared" si="2"/>
        <v>1</v>
      </c>
    </row>
    <row r="32" ht="19.5" customHeight="1">
      <c r="A32" s="5">
        <f>IFERROR(__xludf.DUMMYFUNCTION("""COMPUTED_VALUE"""),330319.0)</f>
        <v>330319</v>
      </c>
      <c r="B32" s="5" t="str">
        <f>IFERROR(__xludf.DUMMYFUNCTION("""COMPUTED_VALUE"""),"村田康太朗")</f>
        <v>村田康太朗</v>
      </c>
      <c r="C32" s="5" t="str">
        <f>IFERROR(__xludf.DUMMYFUNCTION("""COMPUTED_VALUE"""),"むらたこうたろう")</f>
        <v>むらたこうたろう</v>
      </c>
      <c r="D32" s="5">
        <f>IFERROR(__xludf.DUMMYFUNCTION("""COMPUTED_VALUE"""),1.0)</f>
        <v>1</v>
      </c>
      <c r="E32" s="5" t="str">
        <f>IFERROR(__xludf.DUMMYFUNCTION("""COMPUTED_VALUE"""),"男")</f>
        <v>男</v>
      </c>
      <c r="F32" s="5" t="str">
        <f>IFERROR(__xludf.DUMMYFUNCTION("""COMPUTED_VALUE"""),"×欠場")</f>
        <v>×欠場</v>
      </c>
      <c r="G32" s="5" t="str">
        <f>IFERROR(__xludf.DUMMYFUNCTION("""COMPUTED_VALUE"""),"×欠場")</f>
        <v>×欠場</v>
      </c>
      <c r="H32" s="5"/>
      <c r="I32" s="5" t="str">
        <f>IFERROR(__xludf.DUMMYFUNCTION("""COMPUTED_VALUE"""),"×参加しない")</f>
        <v>×参加しない</v>
      </c>
      <c r="J32" s="5"/>
      <c r="K32" s="12">
        <f t="shared" si="2"/>
        <v>0</v>
      </c>
    </row>
    <row r="33" ht="19.5" customHeight="1">
      <c r="A33" s="5">
        <f>IFERROR(__xludf.DUMMYFUNCTION("""COMPUTED_VALUE"""),330320.0)</f>
        <v>330320</v>
      </c>
      <c r="B33" s="5" t="str">
        <f>IFERROR(__xludf.DUMMYFUNCTION("""COMPUTED_VALUE"""),"竹下晃貴")</f>
        <v>竹下晃貴</v>
      </c>
      <c r="C33" s="5" t="str">
        <f>IFERROR(__xludf.DUMMYFUNCTION("""COMPUTED_VALUE"""),"たけしたこうき")</f>
        <v>たけしたこうき</v>
      </c>
      <c r="D33" s="5">
        <f>IFERROR(__xludf.DUMMYFUNCTION("""COMPUTED_VALUE"""),1.0)</f>
        <v>1</v>
      </c>
      <c r="E33" s="5" t="str">
        <f>IFERROR(__xludf.DUMMYFUNCTION("""COMPUTED_VALUE"""),"男")</f>
        <v>男</v>
      </c>
      <c r="F33" s="5" t="str">
        <f>IFERROR(__xludf.DUMMYFUNCTION("""COMPUTED_VALUE"""),"×欠場")</f>
        <v>×欠場</v>
      </c>
      <c r="G33" s="5" t="str">
        <f>IFERROR(__xludf.DUMMYFUNCTION("""COMPUTED_VALUE"""),"×欠場")</f>
        <v>×欠場</v>
      </c>
      <c r="H33" s="5"/>
      <c r="I33" s="5" t="str">
        <f>IFERROR(__xludf.DUMMYFUNCTION("""COMPUTED_VALUE"""),"×参加しない")</f>
        <v>×参加しない</v>
      </c>
      <c r="J33" s="5"/>
      <c r="K33" s="12">
        <f t="shared" si="2"/>
        <v>0</v>
      </c>
    </row>
    <row r="34" ht="19.5" customHeight="1">
      <c r="A34" s="5">
        <f>IFERROR(__xludf.DUMMYFUNCTION("""COMPUTED_VALUE"""),330321.0)</f>
        <v>330321</v>
      </c>
      <c r="B34" s="5" t="str">
        <f>IFERROR(__xludf.DUMMYFUNCTION("""COMPUTED_VALUE"""),"上柳宏介")</f>
        <v>上柳宏介</v>
      </c>
      <c r="C34" s="5" t="str">
        <f>IFERROR(__xludf.DUMMYFUNCTION("""COMPUTED_VALUE"""),"うえやなぎこうすけ")</f>
        <v>うえやなぎこうすけ</v>
      </c>
      <c r="D34" s="5">
        <f>IFERROR(__xludf.DUMMYFUNCTION("""COMPUTED_VALUE"""),1.0)</f>
        <v>1</v>
      </c>
      <c r="E34" s="5" t="str">
        <f>IFERROR(__xludf.DUMMYFUNCTION("""COMPUTED_VALUE"""),"男")</f>
        <v>男</v>
      </c>
      <c r="F34" s="5" t="str">
        <f>IFERROR(__xludf.DUMMYFUNCTION("""COMPUTED_VALUE"""),"×欠場")</f>
        <v>×欠場</v>
      </c>
      <c r="G34" s="5" t="str">
        <f>IFERROR(__xludf.DUMMYFUNCTION("""COMPUTED_VALUE"""),"×欠場")</f>
        <v>×欠場</v>
      </c>
      <c r="H34" s="5"/>
      <c r="I34" s="5" t="str">
        <f>IFERROR(__xludf.DUMMYFUNCTION("""COMPUTED_VALUE"""),"×参加しない")</f>
        <v>×参加しない</v>
      </c>
      <c r="J34" s="5"/>
      <c r="K34" s="12">
        <f t="shared" si="2"/>
        <v>0</v>
      </c>
    </row>
    <row r="35" ht="19.5" customHeight="1">
      <c r="A35" s="5">
        <f>IFERROR(__xludf.DUMMYFUNCTION("""COMPUTED_VALUE"""),330322.0)</f>
        <v>330322</v>
      </c>
      <c r="B35" s="5" t="str">
        <f>IFERROR(__xludf.DUMMYFUNCTION("""COMPUTED_VALUE"""),"為我井陽介")</f>
        <v>為我井陽介</v>
      </c>
      <c r="C35" s="5" t="str">
        <f>IFERROR(__xludf.DUMMYFUNCTION("""COMPUTED_VALUE"""),"ためがいようすけ")</f>
        <v>ためがいようすけ</v>
      </c>
      <c r="D35" s="5">
        <f>IFERROR(__xludf.DUMMYFUNCTION("""COMPUTED_VALUE"""),1.0)</f>
        <v>1</v>
      </c>
      <c r="E35" s="5" t="str">
        <f>IFERROR(__xludf.DUMMYFUNCTION("""COMPUTED_VALUE"""),"男")</f>
        <v>男</v>
      </c>
      <c r="F35" s="5" t="str">
        <f>IFERROR(__xludf.DUMMYFUNCTION("""COMPUTED_VALUE"""),"MUF")</f>
        <v>MUF</v>
      </c>
      <c r="G35" s="5" t="str">
        <f>IFERROR(__xludf.DUMMYFUNCTION("""COMPUTED_VALUE"""),"○出場")</f>
        <v>○出場</v>
      </c>
      <c r="H35" s="5">
        <f>IFERROR(__xludf.DUMMYFUNCTION("""COMPUTED_VALUE"""),530646.0)</f>
        <v>530646</v>
      </c>
      <c r="I35" s="5" t="str">
        <f>IFERROR(__xludf.DUMMYFUNCTION("""COMPUTED_VALUE"""),"○参加する")</f>
        <v>○参加する</v>
      </c>
      <c r="J35" s="5"/>
      <c r="K35" s="12">
        <f t="shared" si="2"/>
        <v>1</v>
      </c>
    </row>
    <row r="36" ht="19.5" customHeight="1">
      <c r="A36" s="5">
        <f>IFERROR(__xludf.DUMMYFUNCTION("""COMPUTED_VALUE"""),330323.0)</f>
        <v>330323</v>
      </c>
      <c r="B36" s="5" t="str">
        <f>IFERROR(__xludf.DUMMYFUNCTION("""COMPUTED_VALUE"""),"今林智輝")</f>
        <v>今林智輝</v>
      </c>
      <c r="C36" s="5" t="str">
        <f>IFERROR(__xludf.DUMMYFUNCTION("""COMPUTED_VALUE"""),"いまばやしともき")</f>
        <v>いまばやしともき</v>
      </c>
      <c r="D36" s="5">
        <f>IFERROR(__xludf.DUMMYFUNCTION("""COMPUTED_VALUE"""),1.0)</f>
        <v>1</v>
      </c>
      <c r="E36" s="5" t="str">
        <f>IFERROR(__xludf.DUMMYFUNCTION("""COMPUTED_VALUE"""),"男")</f>
        <v>男</v>
      </c>
      <c r="F36" s="5" t="str">
        <f>IFERROR(__xludf.DUMMYFUNCTION("""COMPUTED_VALUE"""),"×欠場")</f>
        <v>×欠場</v>
      </c>
      <c r="G36" s="5" t="str">
        <f>IFERROR(__xludf.DUMMYFUNCTION("""COMPUTED_VALUE"""),"×欠場")</f>
        <v>×欠場</v>
      </c>
      <c r="H36" s="5"/>
      <c r="I36" s="5" t="str">
        <f>IFERROR(__xludf.DUMMYFUNCTION("""COMPUTED_VALUE"""),"×参加しない")</f>
        <v>×参加しない</v>
      </c>
      <c r="J36" s="5"/>
      <c r="K36" s="12">
        <f t="shared" si="2"/>
        <v>0</v>
      </c>
    </row>
    <row r="37" ht="19.5" customHeight="1">
      <c r="A37" s="5">
        <f>IFERROR(__xludf.DUMMYFUNCTION("""COMPUTED_VALUE"""),330324.0)</f>
        <v>330324</v>
      </c>
      <c r="B37" s="5" t="str">
        <f>IFERROR(__xludf.DUMMYFUNCTION("""COMPUTED_VALUE"""),"児島在央")</f>
        <v>児島在央</v>
      </c>
      <c r="C37" s="5" t="str">
        <f>IFERROR(__xludf.DUMMYFUNCTION("""COMPUTED_VALUE"""),"こじまあきひろ")</f>
        <v>こじまあきひろ</v>
      </c>
      <c r="D37" s="5">
        <f>IFERROR(__xludf.DUMMYFUNCTION("""COMPUTED_VALUE"""),1.0)</f>
        <v>1</v>
      </c>
      <c r="E37" s="5" t="str">
        <f>IFERROR(__xludf.DUMMYFUNCTION("""COMPUTED_VALUE"""),"男")</f>
        <v>男</v>
      </c>
      <c r="F37" s="5" t="str">
        <f>IFERROR(__xludf.DUMMYFUNCTION("""COMPUTED_VALUE"""),"×欠場")</f>
        <v>×欠場</v>
      </c>
      <c r="G37" s="5" t="str">
        <f>IFERROR(__xludf.DUMMYFUNCTION("""COMPUTED_VALUE"""),"×欠場")</f>
        <v>×欠場</v>
      </c>
      <c r="H37" s="5"/>
      <c r="I37" s="5" t="str">
        <f>IFERROR(__xludf.DUMMYFUNCTION("""COMPUTED_VALUE"""),"×参加しない")</f>
        <v>×参加しない</v>
      </c>
      <c r="J37" s="5"/>
      <c r="K37" s="12">
        <f t="shared" si="2"/>
        <v>0</v>
      </c>
    </row>
    <row r="38" ht="19.5" customHeight="1">
      <c r="A38" s="5">
        <f>IFERROR(__xludf.DUMMYFUNCTION("""COMPUTED_VALUE"""),330325.0)</f>
        <v>330325</v>
      </c>
      <c r="B38" s="5" t="str">
        <f>IFERROR(__xludf.DUMMYFUNCTION("""COMPUTED_VALUE"""),"清水康介")</f>
        <v>清水康介</v>
      </c>
      <c r="C38" s="5" t="str">
        <f>IFERROR(__xludf.DUMMYFUNCTION("""COMPUTED_VALUE"""),"しみずこうすけ")</f>
        <v>しみずこうすけ</v>
      </c>
      <c r="D38" s="5">
        <f>IFERROR(__xludf.DUMMYFUNCTION("""COMPUTED_VALUE"""),1.0)</f>
        <v>1</v>
      </c>
      <c r="E38" s="5" t="str">
        <f>IFERROR(__xludf.DUMMYFUNCTION("""COMPUTED_VALUE"""),"男")</f>
        <v>男</v>
      </c>
      <c r="F38" s="5" t="str">
        <f>IFERROR(__xludf.DUMMYFUNCTION("""COMPUTED_VALUE"""),"MUF")</f>
        <v>MUF</v>
      </c>
      <c r="G38" s="5" t="str">
        <f>IFERROR(__xludf.DUMMYFUNCTION("""COMPUTED_VALUE"""),"○出場")</f>
        <v>○出場</v>
      </c>
      <c r="H38" s="5">
        <f>IFERROR(__xludf.DUMMYFUNCTION("""COMPUTED_VALUE"""),530647.0)</f>
        <v>530647</v>
      </c>
      <c r="I38" s="5" t="str">
        <f>IFERROR(__xludf.DUMMYFUNCTION("""COMPUTED_VALUE"""),"○参加する")</f>
        <v>○参加する</v>
      </c>
      <c r="J38" s="5"/>
      <c r="K38" s="12">
        <f t="shared" si="2"/>
        <v>1</v>
      </c>
    </row>
    <row r="39" ht="19.5" customHeight="1">
      <c r="A39" s="5">
        <f>IFERROR(__xludf.DUMMYFUNCTION("""COMPUTED_VALUE"""),130309.0)</f>
        <v>130309</v>
      </c>
      <c r="B39" s="5" t="str">
        <f>IFERROR(__xludf.DUMMYFUNCTION("""COMPUTED_VALUE"""),"奥田知輝")</f>
        <v>奥田知輝</v>
      </c>
      <c r="C39" s="5" t="str">
        <f>IFERROR(__xludf.DUMMYFUNCTION("""COMPUTED_VALUE"""),"おくだともき")</f>
        <v>おくだともき</v>
      </c>
      <c r="D39" s="5">
        <f>IFERROR(__xludf.DUMMYFUNCTION("""COMPUTED_VALUE"""),2.0)</f>
        <v>2</v>
      </c>
      <c r="E39" s="5" t="str">
        <f>IFERROR(__xludf.DUMMYFUNCTION("""COMPUTED_VALUE"""),"男")</f>
        <v>男</v>
      </c>
      <c r="F39" s="5" t="str">
        <f>IFERROR(__xludf.DUMMYFUNCTION("""COMPUTED_VALUE"""),"MUA")</f>
        <v>MUA</v>
      </c>
      <c r="G39" s="5" t="str">
        <f>IFERROR(__xludf.DUMMYFUNCTION("""COMPUTED_VALUE"""),"○出場")</f>
        <v>○出場</v>
      </c>
      <c r="H39" s="5">
        <f>IFERROR(__xludf.DUMMYFUNCTION("""COMPUTED_VALUE"""),524953.0)</f>
        <v>524953</v>
      </c>
      <c r="I39" s="5" t="str">
        <f>IFERROR(__xludf.DUMMYFUNCTION("""COMPUTED_VALUE"""),"○参加する")</f>
        <v>○参加する</v>
      </c>
      <c r="J39" s="5"/>
      <c r="K39" s="12">
        <f t="shared" si="2"/>
        <v>1</v>
      </c>
    </row>
    <row r="40" ht="19.5" customHeight="1">
      <c r="A40" s="5">
        <f>IFERROR(__xludf.DUMMYFUNCTION("""COMPUTED_VALUE"""),230301.0)</f>
        <v>230301</v>
      </c>
      <c r="B40" s="5" t="str">
        <f>IFERROR(__xludf.DUMMYFUNCTION("""COMPUTED_VALUE"""),"桒原大雅")</f>
        <v>桒原大雅</v>
      </c>
      <c r="C40" s="5" t="str">
        <f>IFERROR(__xludf.DUMMYFUNCTION("""COMPUTED_VALUE"""),"くわばらたいが")</f>
        <v>くわばらたいが</v>
      </c>
      <c r="D40" s="5">
        <f>IFERROR(__xludf.DUMMYFUNCTION("""COMPUTED_VALUE"""),2.0)</f>
        <v>2</v>
      </c>
      <c r="E40" s="5" t="str">
        <f>IFERROR(__xludf.DUMMYFUNCTION("""COMPUTED_VALUE"""),"男")</f>
        <v>男</v>
      </c>
      <c r="F40" s="5" t="str">
        <f>IFERROR(__xludf.DUMMYFUNCTION("""COMPUTED_VALUE"""),"×欠場")</f>
        <v>×欠場</v>
      </c>
      <c r="G40" s="5" t="str">
        <f>IFERROR(__xludf.DUMMYFUNCTION("""COMPUTED_VALUE"""),"×欠場")</f>
        <v>×欠場</v>
      </c>
      <c r="H40" s="5"/>
      <c r="I40" s="5" t="str">
        <f>IFERROR(__xludf.DUMMYFUNCTION("""COMPUTED_VALUE"""),"×参加しない")</f>
        <v>×参加しない</v>
      </c>
      <c r="J40" s="5"/>
      <c r="K40" s="12">
        <f t="shared" si="2"/>
        <v>0</v>
      </c>
    </row>
    <row r="41" ht="19.5" customHeight="1">
      <c r="A41" s="5">
        <f>IFERROR(__xludf.DUMMYFUNCTION("""COMPUTED_VALUE"""),230305.0)</f>
        <v>230305</v>
      </c>
      <c r="B41" s="5" t="str">
        <f>IFERROR(__xludf.DUMMYFUNCTION("""COMPUTED_VALUE"""),"常広寿哉")</f>
        <v>常広寿哉</v>
      </c>
      <c r="C41" s="5" t="str">
        <f>IFERROR(__xludf.DUMMYFUNCTION("""COMPUTED_VALUE"""),"つねひろとしや")</f>
        <v>つねひろとしや</v>
      </c>
      <c r="D41" s="5">
        <f>IFERROR(__xludf.DUMMYFUNCTION("""COMPUTED_VALUE"""),2.0)</f>
        <v>2</v>
      </c>
      <c r="E41" s="5" t="str">
        <f>IFERROR(__xludf.DUMMYFUNCTION("""COMPUTED_VALUE"""),"男")</f>
        <v>男</v>
      </c>
      <c r="F41" s="5" t="str">
        <f>IFERROR(__xludf.DUMMYFUNCTION("""COMPUTED_VALUE"""),"MUA")</f>
        <v>MUA</v>
      </c>
      <c r="G41" s="5" t="str">
        <f>IFERROR(__xludf.DUMMYFUNCTION("""COMPUTED_VALUE"""),"○出場")</f>
        <v>○出場</v>
      </c>
      <c r="H41" s="5">
        <f>IFERROR(__xludf.DUMMYFUNCTION("""COMPUTED_VALUE"""),524946.0)</f>
        <v>524946</v>
      </c>
      <c r="I41" s="5" t="str">
        <f>IFERROR(__xludf.DUMMYFUNCTION("""COMPUTED_VALUE"""),"○参加する")</f>
        <v>○参加する</v>
      </c>
      <c r="J41" s="5"/>
      <c r="K41" s="12">
        <f t="shared" si="2"/>
        <v>1</v>
      </c>
    </row>
    <row r="42" ht="19.5" customHeight="1">
      <c r="A42" s="5">
        <f>IFERROR(__xludf.DUMMYFUNCTION("""COMPUTED_VALUE"""),230307.0)</f>
        <v>230307</v>
      </c>
      <c r="B42" s="5" t="str">
        <f>IFERROR(__xludf.DUMMYFUNCTION("""COMPUTED_VALUE"""),"小森大輔")</f>
        <v>小森大輔</v>
      </c>
      <c r="C42" s="5" t="str">
        <f>IFERROR(__xludf.DUMMYFUNCTION("""COMPUTED_VALUE"""),"こもりだいすけ")</f>
        <v>こもりだいすけ</v>
      </c>
      <c r="D42" s="5">
        <f>IFERROR(__xludf.DUMMYFUNCTION("""COMPUTED_VALUE"""),2.0)</f>
        <v>2</v>
      </c>
      <c r="E42" s="5" t="str">
        <f>IFERROR(__xludf.DUMMYFUNCTION("""COMPUTED_VALUE"""),"男")</f>
        <v>男</v>
      </c>
      <c r="F42" s="5" t="str">
        <f>IFERROR(__xludf.DUMMYFUNCTION("""COMPUTED_VALUE"""),"MUA")</f>
        <v>MUA</v>
      </c>
      <c r="G42" s="5" t="str">
        <f>IFERROR(__xludf.DUMMYFUNCTION("""COMPUTED_VALUE"""),"○出場")</f>
        <v>○出場</v>
      </c>
      <c r="H42" s="5">
        <f>IFERROR(__xludf.DUMMYFUNCTION("""COMPUTED_VALUE"""),524947.0)</f>
        <v>524947</v>
      </c>
      <c r="I42" s="5" t="str">
        <f>IFERROR(__xludf.DUMMYFUNCTION("""COMPUTED_VALUE"""),"○参加する")</f>
        <v>○参加する</v>
      </c>
      <c r="J42" s="5"/>
      <c r="K42" s="12">
        <f t="shared" si="2"/>
        <v>1</v>
      </c>
    </row>
    <row r="43" ht="19.5" customHeight="1">
      <c r="A43" s="5">
        <f>IFERROR(__xludf.DUMMYFUNCTION("""COMPUTED_VALUE"""),230308.0)</f>
        <v>230308</v>
      </c>
      <c r="B43" s="5" t="str">
        <f>IFERROR(__xludf.DUMMYFUNCTION("""COMPUTED_VALUE"""),"磯野匠")</f>
        <v>磯野匠</v>
      </c>
      <c r="C43" s="5" t="str">
        <f>IFERROR(__xludf.DUMMYFUNCTION("""COMPUTED_VALUE"""),"いそのたくみ")</f>
        <v>いそのたくみ</v>
      </c>
      <c r="D43" s="5">
        <f>IFERROR(__xludf.DUMMYFUNCTION("""COMPUTED_VALUE"""),2.0)</f>
        <v>2</v>
      </c>
      <c r="E43" s="5" t="str">
        <f>IFERROR(__xludf.DUMMYFUNCTION("""COMPUTED_VALUE"""),"男")</f>
        <v>男</v>
      </c>
      <c r="F43" s="5" t="str">
        <f>IFERROR(__xludf.DUMMYFUNCTION("""COMPUTED_VALUE"""),"MUA")</f>
        <v>MUA</v>
      </c>
      <c r="G43" s="5" t="str">
        <f>IFERROR(__xludf.DUMMYFUNCTION("""COMPUTED_VALUE"""),"○出場")</f>
        <v>○出場</v>
      </c>
      <c r="H43" s="5">
        <f>IFERROR(__xludf.DUMMYFUNCTION("""COMPUTED_VALUE"""),524955.0)</f>
        <v>524955</v>
      </c>
      <c r="I43" s="5" t="str">
        <f>IFERROR(__xludf.DUMMYFUNCTION("""COMPUTED_VALUE"""),"○参加する")</f>
        <v>○参加する</v>
      </c>
      <c r="J43" s="5"/>
      <c r="K43" s="12">
        <f t="shared" si="2"/>
        <v>1</v>
      </c>
    </row>
    <row r="44" ht="19.5" customHeight="1">
      <c r="A44" s="5">
        <f>IFERROR(__xludf.DUMMYFUNCTION("""COMPUTED_VALUE"""),230313.0)</f>
        <v>230313</v>
      </c>
      <c r="B44" s="5" t="str">
        <f>IFERROR(__xludf.DUMMYFUNCTION("""COMPUTED_VALUE"""),"山崎有里彩")</f>
        <v>山崎有里彩</v>
      </c>
      <c r="C44" s="5" t="str">
        <f>IFERROR(__xludf.DUMMYFUNCTION("""COMPUTED_VALUE"""),"やまざきありさ")</f>
        <v>やまざきありさ</v>
      </c>
      <c r="D44" s="5">
        <f>IFERROR(__xludf.DUMMYFUNCTION("""COMPUTED_VALUE"""),2.0)</f>
        <v>2</v>
      </c>
      <c r="E44" s="5" t="str">
        <f>IFERROR(__xludf.DUMMYFUNCTION("""COMPUTED_VALUE"""),"女")</f>
        <v>女</v>
      </c>
      <c r="F44" s="5" t="str">
        <f>IFERROR(__xludf.DUMMYFUNCTION("""COMPUTED_VALUE"""),"WUA")</f>
        <v>WUA</v>
      </c>
      <c r="G44" s="5" t="str">
        <f>IFERROR(__xludf.DUMMYFUNCTION("""COMPUTED_VALUE"""),"○出場")</f>
        <v>○出場</v>
      </c>
      <c r="H44" s="5">
        <f>IFERROR(__xludf.DUMMYFUNCTION("""COMPUTED_VALUE"""),524945.0)</f>
        <v>524945</v>
      </c>
      <c r="I44" s="5" t="str">
        <f>IFERROR(__xludf.DUMMYFUNCTION("""COMPUTED_VALUE"""),"○参加する")</f>
        <v>○参加する</v>
      </c>
      <c r="J44" s="5"/>
      <c r="K44" s="12">
        <f t="shared" si="2"/>
        <v>1</v>
      </c>
    </row>
    <row r="45" ht="19.5" customHeight="1">
      <c r="A45" s="5">
        <f>IFERROR(__xludf.DUMMYFUNCTION("""COMPUTED_VALUE"""),230320.0)</f>
        <v>230320</v>
      </c>
      <c r="B45" s="5" t="str">
        <f>IFERROR(__xludf.DUMMYFUNCTION("""COMPUTED_VALUE"""),"西田駿")</f>
        <v>西田駿</v>
      </c>
      <c r="C45" s="5" t="str">
        <f>IFERROR(__xludf.DUMMYFUNCTION("""COMPUTED_VALUE"""),"にしだしゅん")</f>
        <v>にしだしゅん</v>
      </c>
      <c r="D45" s="5">
        <f>IFERROR(__xludf.DUMMYFUNCTION("""COMPUTED_VALUE"""),2.0)</f>
        <v>2</v>
      </c>
      <c r="E45" s="5" t="str">
        <f>IFERROR(__xludf.DUMMYFUNCTION("""COMPUTED_VALUE"""),"男")</f>
        <v>男</v>
      </c>
      <c r="F45" s="5" t="str">
        <f>IFERROR(__xludf.DUMMYFUNCTION("""COMPUTED_VALUE"""),"×欠場")</f>
        <v>×欠場</v>
      </c>
      <c r="G45" s="5" t="str">
        <f>IFERROR(__xludf.DUMMYFUNCTION("""COMPUTED_VALUE"""),"×欠場")</f>
        <v>×欠場</v>
      </c>
      <c r="H45" s="5"/>
      <c r="I45" s="5" t="str">
        <f>IFERROR(__xludf.DUMMYFUNCTION("""COMPUTED_VALUE"""),"×参加しない")</f>
        <v>×参加しない</v>
      </c>
      <c r="J45" s="5"/>
      <c r="K45" s="12">
        <f t="shared" si="2"/>
        <v>0</v>
      </c>
    </row>
    <row r="46" ht="19.5" customHeight="1">
      <c r="A46" s="5">
        <f>IFERROR(__xludf.DUMMYFUNCTION("""COMPUTED_VALUE"""),130301.0)</f>
        <v>130301</v>
      </c>
      <c r="B46" s="5" t="str">
        <f>IFERROR(__xludf.DUMMYFUNCTION("""COMPUTED_VALUE"""),"木口瑞穂")</f>
        <v>木口瑞穂</v>
      </c>
      <c r="C46" s="5" t="str">
        <f>IFERROR(__xludf.DUMMYFUNCTION("""COMPUTED_VALUE"""),"きぐちみずほ")</f>
        <v>きぐちみずほ</v>
      </c>
      <c r="D46" s="5">
        <f>IFERROR(__xludf.DUMMYFUNCTION("""COMPUTED_VALUE"""),3.0)</f>
        <v>3</v>
      </c>
      <c r="E46" s="5" t="str">
        <f>IFERROR(__xludf.DUMMYFUNCTION("""COMPUTED_VALUE"""),"女")</f>
        <v>女</v>
      </c>
      <c r="F46" s="5" t="str">
        <f>IFERROR(__xludf.DUMMYFUNCTION("""COMPUTED_VALUE"""),"WUA")</f>
        <v>WUA</v>
      </c>
      <c r="G46" s="5" t="str">
        <f>IFERROR(__xludf.DUMMYFUNCTION("""COMPUTED_VALUE"""),"○出場")</f>
        <v>○出場</v>
      </c>
      <c r="H46" s="5">
        <f>IFERROR(__xludf.DUMMYFUNCTION("""COMPUTED_VALUE"""),519395.0)</f>
        <v>519395</v>
      </c>
      <c r="I46" s="5" t="str">
        <f>IFERROR(__xludf.DUMMYFUNCTION("""COMPUTED_VALUE"""),"○参加する")</f>
        <v>○参加する</v>
      </c>
      <c r="J46" s="5"/>
      <c r="K46" s="12">
        <f t="shared" si="2"/>
        <v>1</v>
      </c>
    </row>
    <row r="47" ht="19.5" customHeight="1">
      <c r="A47" s="5">
        <f>IFERROR(__xludf.DUMMYFUNCTION("""COMPUTED_VALUE"""),130302.0)</f>
        <v>130302</v>
      </c>
      <c r="B47" s="5" t="str">
        <f>IFERROR(__xludf.DUMMYFUNCTION("""COMPUTED_VALUE"""),"加藤偉於")</f>
        <v>加藤偉於</v>
      </c>
      <c r="C47" s="5" t="str">
        <f>IFERROR(__xludf.DUMMYFUNCTION("""COMPUTED_VALUE"""),"かとういお")</f>
        <v>かとういお</v>
      </c>
      <c r="D47" s="5">
        <f>IFERROR(__xludf.DUMMYFUNCTION("""COMPUTED_VALUE"""),3.0)</f>
        <v>3</v>
      </c>
      <c r="E47" s="5" t="str">
        <f>IFERROR(__xludf.DUMMYFUNCTION("""COMPUTED_VALUE"""),"男")</f>
        <v>男</v>
      </c>
      <c r="F47" s="5" t="str">
        <f>IFERROR(__xludf.DUMMYFUNCTION("""COMPUTED_VALUE"""),"MUA")</f>
        <v>MUA</v>
      </c>
      <c r="G47" s="5" t="str">
        <f>IFERROR(__xludf.DUMMYFUNCTION("""COMPUTED_VALUE"""),"○出場")</f>
        <v>○出場</v>
      </c>
      <c r="H47" s="5">
        <f>IFERROR(__xludf.DUMMYFUNCTION("""COMPUTED_VALUE"""),524959.0)</f>
        <v>524959</v>
      </c>
      <c r="I47" s="5" t="str">
        <f>IFERROR(__xludf.DUMMYFUNCTION("""COMPUTED_VALUE"""),"○参加する")</f>
        <v>○参加する</v>
      </c>
      <c r="J47" s="5"/>
      <c r="K47" s="12">
        <f t="shared" si="2"/>
        <v>1</v>
      </c>
    </row>
    <row r="48" ht="19.5" customHeight="1">
      <c r="A48" s="5">
        <f>IFERROR(__xludf.DUMMYFUNCTION("""COMPUTED_VALUE"""),130303.0)</f>
        <v>130303</v>
      </c>
      <c r="B48" s="5" t="str">
        <f>IFERROR(__xludf.DUMMYFUNCTION("""COMPUTED_VALUE"""),"北江渓吾")</f>
        <v>北江渓吾</v>
      </c>
      <c r="C48" s="5" t="str">
        <f>IFERROR(__xludf.DUMMYFUNCTION("""COMPUTED_VALUE"""),"きたえけいご")</f>
        <v>きたえけいご</v>
      </c>
      <c r="D48" s="5">
        <f>IFERROR(__xludf.DUMMYFUNCTION("""COMPUTED_VALUE"""),3.0)</f>
        <v>3</v>
      </c>
      <c r="E48" s="5" t="str">
        <f>IFERROR(__xludf.DUMMYFUNCTION("""COMPUTED_VALUE"""),"男")</f>
        <v>男</v>
      </c>
      <c r="F48" s="5" t="str">
        <f>IFERROR(__xludf.DUMMYFUNCTION("""COMPUTED_VALUE"""),"MUA")</f>
        <v>MUA</v>
      </c>
      <c r="G48" s="5" t="str">
        <f>IFERROR(__xludf.DUMMYFUNCTION("""COMPUTED_VALUE"""),"○出場")</f>
        <v>○出場</v>
      </c>
      <c r="H48" s="5">
        <f>IFERROR(__xludf.DUMMYFUNCTION("""COMPUTED_VALUE"""),519382.0)</f>
        <v>519382</v>
      </c>
      <c r="I48" s="5" t="str">
        <f>IFERROR(__xludf.DUMMYFUNCTION("""COMPUTED_VALUE"""),"○参加する")</f>
        <v>○参加する</v>
      </c>
      <c r="J48" s="5"/>
      <c r="K48" s="12">
        <f t="shared" si="2"/>
        <v>1</v>
      </c>
    </row>
    <row r="49" ht="19.5" customHeight="1">
      <c r="A49" s="5">
        <f>IFERROR(__xludf.DUMMYFUNCTION("""COMPUTED_VALUE"""),130305.0)</f>
        <v>130305</v>
      </c>
      <c r="B49" s="5" t="str">
        <f>IFERROR(__xludf.DUMMYFUNCTION("""COMPUTED_VALUE"""),"増子直人")</f>
        <v>増子直人</v>
      </c>
      <c r="C49" s="5" t="str">
        <f>IFERROR(__xludf.DUMMYFUNCTION("""COMPUTED_VALUE"""),"ますこなおと")</f>
        <v>ますこなおと</v>
      </c>
      <c r="D49" s="5">
        <f>IFERROR(__xludf.DUMMYFUNCTION("""COMPUTED_VALUE"""),3.0)</f>
        <v>3</v>
      </c>
      <c r="E49" s="5" t="str">
        <f>IFERROR(__xludf.DUMMYFUNCTION("""COMPUTED_VALUE"""),"男")</f>
        <v>男</v>
      </c>
      <c r="F49" s="5" t="str">
        <f>IFERROR(__xludf.DUMMYFUNCTION("""COMPUTED_VALUE"""),"MUA")</f>
        <v>MUA</v>
      </c>
      <c r="G49" s="5" t="str">
        <f>IFERROR(__xludf.DUMMYFUNCTION("""COMPUTED_VALUE"""),"○出場")</f>
        <v>○出場</v>
      </c>
      <c r="H49" s="5">
        <f>IFERROR(__xludf.DUMMYFUNCTION("""COMPUTED_VALUE"""),519398.0)</f>
        <v>519398</v>
      </c>
      <c r="I49" s="5" t="str">
        <f>IFERROR(__xludf.DUMMYFUNCTION("""COMPUTED_VALUE"""),"○参加する")</f>
        <v>○参加する</v>
      </c>
      <c r="J49" s="5"/>
      <c r="K49" s="12">
        <f t="shared" si="2"/>
        <v>1</v>
      </c>
    </row>
    <row r="50" ht="19.5" customHeight="1">
      <c r="A50" s="5">
        <f>IFERROR(__xludf.DUMMYFUNCTION("""COMPUTED_VALUE"""),130310.0)</f>
        <v>130310</v>
      </c>
      <c r="B50" s="5" t="str">
        <f>IFERROR(__xludf.DUMMYFUNCTION("""COMPUTED_VALUE"""),"川邊太清")</f>
        <v>川邊太清</v>
      </c>
      <c r="C50" s="5" t="str">
        <f>IFERROR(__xludf.DUMMYFUNCTION("""COMPUTED_VALUE"""),"かわべたいせい")</f>
        <v>かわべたいせい</v>
      </c>
      <c r="D50" s="5">
        <f>IFERROR(__xludf.DUMMYFUNCTION("""COMPUTED_VALUE"""),3.0)</f>
        <v>3</v>
      </c>
      <c r="E50" s="5" t="str">
        <f>IFERROR(__xludf.DUMMYFUNCTION("""COMPUTED_VALUE"""),"男")</f>
        <v>男</v>
      </c>
      <c r="F50" s="5" t="str">
        <f>IFERROR(__xludf.DUMMYFUNCTION("""COMPUTED_VALUE"""),"MUA")</f>
        <v>MUA</v>
      </c>
      <c r="G50" s="5" t="str">
        <f>IFERROR(__xludf.DUMMYFUNCTION("""COMPUTED_VALUE"""),"○出場")</f>
        <v>○出場</v>
      </c>
      <c r="H50" s="5">
        <f>IFERROR(__xludf.DUMMYFUNCTION("""COMPUTED_VALUE"""),519394.0)</f>
        <v>519394</v>
      </c>
      <c r="I50" s="5" t="str">
        <f>IFERROR(__xludf.DUMMYFUNCTION("""COMPUTED_VALUE"""),"○参加する")</f>
        <v>○参加する</v>
      </c>
      <c r="J50" s="5"/>
      <c r="K50" s="12">
        <f t="shared" si="2"/>
        <v>1</v>
      </c>
    </row>
    <row r="51" ht="19.5" customHeight="1">
      <c r="A51" s="5">
        <f>IFERROR(__xludf.DUMMYFUNCTION("""COMPUTED_VALUE"""),30301.0)</f>
        <v>30301</v>
      </c>
      <c r="B51" s="5" t="str">
        <f>IFERROR(__xludf.DUMMYFUNCTION("""COMPUTED_VALUE"""),"倉上 英")</f>
        <v>倉上 英</v>
      </c>
      <c r="C51" s="5" t="str">
        <f>IFERROR(__xludf.DUMMYFUNCTION("""COMPUTED_VALUE"""),"くらかみ すぐる")</f>
        <v>くらかみ すぐる</v>
      </c>
      <c r="D51" s="5">
        <f>IFERROR(__xludf.DUMMYFUNCTION("""COMPUTED_VALUE"""),4.0)</f>
        <v>4</v>
      </c>
      <c r="E51" s="5" t="str">
        <f>IFERROR(__xludf.DUMMYFUNCTION("""COMPUTED_VALUE"""),"男")</f>
        <v>男</v>
      </c>
      <c r="F51" s="5" t="str">
        <f>IFERROR(__xludf.DUMMYFUNCTION("""COMPUTED_VALUE"""),"MUA")</f>
        <v>MUA</v>
      </c>
      <c r="G51" s="5" t="str">
        <f>IFERROR(__xludf.DUMMYFUNCTION("""COMPUTED_VALUE"""),"○出場")</f>
        <v>○出場</v>
      </c>
      <c r="H51" s="5">
        <f>IFERROR(__xludf.DUMMYFUNCTION("""COMPUTED_VALUE"""),524957.0)</f>
        <v>524957</v>
      </c>
      <c r="I51" s="5" t="str">
        <f>IFERROR(__xludf.DUMMYFUNCTION("""COMPUTED_VALUE"""),"○参加する")</f>
        <v>○参加する</v>
      </c>
      <c r="J51" s="5"/>
      <c r="K51" s="12">
        <f t="shared" si="2"/>
        <v>1</v>
      </c>
    </row>
    <row r="52" ht="19.5" customHeight="1">
      <c r="A52" s="5">
        <f>IFERROR(__xludf.DUMMYFUNCTION("""COMPUTED_VALUE"""),30302.0)</f>
        <v>30302</v>
      </c>
      <c r="B52" s="5" t="str">
        <f>IFERROR(__xludf.DUMMYFUNCTION("""COMPUTED_VALUE"""),"浦部 健二")</f>
        <v>浦部 健二</v>
      </c>
      <c r="C52" s="5" t="str">
        <f>IFERROR(__xludf.DUMMYFUNCTION("""COMPUTED_VALUE"""),"うらべ けんじ")</f>
        <v>うらべ けんじ</v>
      </c>
      <c r="D52" s="5">
        <f>IFERROR(__xludf.DUMMYFUNCTION("""COMPUTED_VALUE"""),4.0)</f>
        <v>4</v>
      </c>
      <c r="E52" s="5" t="str">
        <f>IFERROR(__xludf.DUMMYFUNCTION("""COMPUTED_VALUE"""),"男")</f>
        <v>男</v>
      </c>
      <c r="F52" s="5" t="str">
        <f>IFERROR(__xludf.DUMMYFUNCTION("""COMPUTED_VALUE"""),"MUA")</f>
        <v>MUA</v>
      </c>
      <c r="G52" s="5" t="str">
        <f>IFERROR(__xludf.DUMMYFUNCTION("""COMPUTED_VALUE"""),"○出場")</f>
        <v>○出場</v>
      </c>
      <c r="H52" s="5">
        <f>IFERROR(__xludf.DUMMYFUNCTION("""COMPUTED_VALUE"""),519383.0)</f>
        <v>519383</v>
      </c>
      <c r="I52" s="5" t="str">
        <f>IFERROR(__xludf.DUMMYFUNCTION("""COMPUTED_VALUE"""),"○参加する")</f>
        <v>○参加する</v>
      </c>
      <c r="J52" s="5"/>
      <c r="K52" s="12">
        <f t="shared" si="2"/>
        <v>1</v>
      </c>
    </row>
    <row r="53" ht="19.5" customHeight="1">
      <c r="A53" s="5">
        <f>IFERROR(__xludf.DUMMYFUNCTION("""COMPUTED_VALUE"""),30303.0)</f>
        <v>30303</v>
      </c>
      <c r="B53" s="5" t="str">
        <f>IFERROR(__xludf.DUMMYFUNCTION("""COMPUTED_VALUE"""),"今井 悠")</f>
        <v>今井 悠</v>
      </c>
      <c r="C53" s="5" t="str">
        <f>IFERROR(__xludf.DUMMYFUNCTION("""COMPUTED_VALUE"""),"いまい ゆう")</f>
        <v>いまい ゆう</v>
      </c>
      <c r="D53" s="5">
        <f>IFERROR(__xludf.DUMMYFUNCTION("""COMPUTED_VALUE"""),4.0)</f>
        <v>4</v>
      </c>
      <c r="E53" s="5" t="str">
        <f>IFERROR(__xludf.DUMMYFUNCTION("""COMPUTED_VALUE"""),"男")</f>
        <v>男</v>
      </c>
      <c r="F53" s="5" t="str">
        <f>IFERROR(__xludf.DUMMYFUNCTION("""COMPUTED_VALUE"""),"×欠場")</f>
        <v>×欠場</v>
      </c>
      <c r="G53" s="5" t="str">
        <f>IFERROR(__xludf.DUMMYFUNCTION("""COMPUTED_VALUE"""),"×欠場")</f>
        <v>×欠場</v>
      </c>
      <c r="H53" s="5"/>
      <c r="I53" s="5" t="str">
        <f>IFERROR(__xludf.DUMMYFUNCTION("""COMPUTED_VALUE"""),"×参加しない")</f>
        <v>×参加しない</v>
      </c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563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29</v>
      </c>
      <c r="E4" s="7">
        <f t="shared" ref="E4:E8" si="1">C4*D4</f>
        <v>246500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2</v>
      </c>
      <c r="E5" s="7">
        <f t="shared" si="1"/>
        <v>16000</v>
      </c>
    </row>
    <row r="6" ht="19.5" customHeight="1">
      <c r="A6" s="2" t="s">
        <v>9</v>
      </c>
      <c r="B6" s="4"/>
      <c r="C6" s="7">
        <v>32700.0</v>
      </c>
      <c r="D6" s="5">
        <f>D4+D5</f>
        <v>31</v>
      </c>
      <c r="E6" s="7">
        <f t="shared" si="1"/>
        <v>1013700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2</v>
      </c>
      <c r="E7" s="7">
        <f t="shared" si="1"/>
        <v>9000</v>
      </c>
    </row>
    <row r="8" ht="19.5" customHeight="1">
      <c r="A8" s="2" t="s">
        <v>11</v>
      </c>
      <c r="B8" s="4"/>
      <c r="C8" s="7">
        <v>500.0</v>
      </c>
      <c r="D8" s="5">
        <f>D4-COUNT(H14:H201)</f>
        <v>5</v>
      </c>
      <c r="E8" s="7">
        <f t="shared" si="1"/>
        <v>2500</v>
      </c>
    </row>
    <row r="9" ht="19.5" customHeight="1">
      <c r="A9" s="9"/>
      <c r="B9" s="9"/>
      <c r="C9" s="9"/>
      <c r="D9" s="10" t="s">
        <v>5</v>
      </c>
      <c r="E9" s="11">
        <f>SUM(E4:E8)</f>
        <v>1287700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IFERROR(__xludf.DUMMYFUNCTION("FILTER('個人別エントリー'!C2:L1018,'個人別エントリー'!B2:B1018=A1)"),330501.0)</f>
        <v>330501</v>
      </c>
      <c r="B14" s="5" t="str">
        <f>IFERROR(__xludf.DUMMYFUNCTION("""COMPUTED_VALUE"""),"細川結愛")</f>
        <v>細川結愛</v>
      </c>
      <c r="C14" s="5" t="str">
        <f>IFERROR(__xludf.DUMMYFUNCTION("""COMPUTED_VALUE"""),"ほそかわゆいな")</f>
        <v>ほそかわゆいな</v>
      </c>
      <c r="D14" s="5">
        <f>IFERROR(__xludf.DUMMYFUNCTION("""COMPUTED_VALUE"""),1.0)</f>
        <v>1</v>
      </c>
      <c r="E14" s="5" t="str">
        <f>IFERROR(__xludf.DUMMYFUNCTION("""COMPUTED_VALUE"""),"女")</f>
        <v>女</v>
      </c>
      <c r="F14" s="5" t="str">
        <f>IFERROR(__xludf.DUMMYFUNCTION("""COMPUTED_VALUE"""),"WUF")</f>
        <v>WUF</v>
      </c>
      <c r="G14" s="5" t="str">
        <f>IFERROR(__xludf.DUMMYFUNCTION("""COMPUTED_VALUE"""),"○出場")</f>
        <v>○出場</v>
      </c>
      <c r="H14" s="5">
        <f>IFERROR(__xludf.DUMMYFUNCTION("""COMPUTED_VALUE"""),518932.0)</f>
        <v>518932</v>
      </c>
      <c r="I14" s="5" t="str">
        <f>IFERROR(__xludf.DUMMYFUNCTION("""COMPUTED_VALUE"""),"○参加する")</f>
        <v>○参加する</v>
      </c>
      <c r="J14" s="5"/>
      <c r="K14" s="12">
        <f t="shared" ref="K14:K201" si="2">IF(AND(OR(F14="×欠場",F14=""),OR(G14="×欠場",G14="")),0,1)</f>
        <v>1</v>
      </c>
      <c r="M14" s="5" t="str">
        <f>IFERROR(__xludf.DUMMYFUNCTION("FILTER('リレー内容'!$C$2:$K$51,'リレー内容'!$B$2:$B$51=A1)"),"○出場")</f>
        <v>○出場</v>
      </c>
      <c r="N14" s="5" t="str">
        <f>IFERROR(__xludf.DUMMYFUNCTION("""COMPUTED_VALUE"""),"○出場")</f>
        <v>○出場</v>
      </c>
      <c r="O14" s="5">
        <f>IFERROR(__xludf.DUMMYFUNCTION("""COMPUTED_VALUE"""),6.0)</f>
        <v>6</v>
      </c>
      <c r="P14" s="5">
        <f>IFERROR(__xludf.DUMMYFUNCTION("""COMPUTED_VALUE"""),1.0)</f>
        <v>1</v>
      </c>
      <c r="Q14" s="5">
        <f>IFERROR(__xludf.DUMMYFUNCTION("""COMPUTED_VALUE"""),1.0)</f>
        <v>1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IFERROR(__xludf.DUMMYFUNCTION("""COMPUTED_VALUE"""),330503.0)</f>
        <v>330503</v>
      </c>
      <c r="B15" s="5" t="str">
        <f>IFERROR(__xludf.DUMMYFUNCTION("""COMPUTED_VALUE"""),"佐藤樹")</f>
        <v>佐藤樹</v>
      </c>
      <c r="C15" s="5" t="str">
        <f>IFERROR(__xludf.DUMMYFUNCTION("""COMPUTED_VALUE"""),"さとういつき")</f>
        <v>さとういつき</v>
      </c>
      <c r="D15" s="5">
        <f>IFERROR(__xludf.DUMMYFUNCTION("""COMPUTED_VALUE"""),1.0)</f>
        <v>1</v>
      </c>
      <c r="E15" s="5" t="str">
        <f>IFERROR(__xludf.DUMMYFUNCTION("""COMPUTED_VALUE"""),"男")</f>
        <v>男</v>
      </c>
      <c r="F15" s="5" t="str">
        <f>IFERROR(__xludf.DUMMYFUNCTION("""COMPUTED_VALUE"""),"MUF")</f>
        <v>MUF</v>
      </c>
      <c r="G15" s="5" t="str">
        <f>IFERROR(__xludf.DUMMYFUNCTION("""COMPUTED_VALUE"""),"○出場")</f>
        <v>○出場</v>
      </c>
      <c r="H15" s="5">
        <f>IFERROR(__xludf.DUMMYFUNCTION("""COMPUTED_VALUE"""),511069.0)</f>
        <v>511069</v>
      </c>
      <c r="I15" s="5" t="str">
        <f>IFERROR(__xludf.DUMMYFUNCTION("""COMPUTED_VALUE"""),"○参加する")</f>
        <v>○参加する</v>
      </c>
      <c r="J15" s="5"/>
      <c r="K15" s="12">
        <f t="shared" si="2"/>
        <v>1</v>
      </c>
    </row>
    <row r="16" ht="19.5" customHeight="1">
      <c r="A16" s="5">
        <f>IFERROR(__xludf.DUMMYFUNCTION("""COMPUTED_VALUE"""),330504.0)</f>
        <v>330504</v>
      </c>
      <c r="B16" s="5" t="str">
        <f>IFERROR(__xludf.DUMMYFUNCTION("""COMPUTED_VALUE"""),"笛木悠慎")</f>
        <v>笛木悠慎</v>
      </c>
      <c r="C16" s="5" t="str">
        <f>IFERROR(__xludf.DUMMYFUNCTION("""COMPUTED_VALUE"""),"ふえきゆうま")</f>
        <v>ふえきゆうま</v>
      </c>
      <c r="D16" s="5">
        <f>IFERROR(__xludf.DUMMYFUNCTION("""COMPUTED_VALUE"""),1.0)</f>
        <v>1</v>
      </c>
      <c r="E16" s="5" t="str">
        <f>IFERROR(__xludf.DUMMYFUNCTION("""COMPUTED_VALUE"""),"男")</f>
        <v>男</v>
      </c>
      <c r="F16" s="5" t="str">
        <f>IFERROR(__xludf.DUMMYFUNCTION("""COMPUTED_VALUE"""),"MUF")</f>
        <v>MUF</v>
      </c>
      <c r="G16" s="5" t="str">
        <f>IFERROR(__xludf.DUMMYFUNCTION("""COMPUTED_VALUE"""),"○出場")</f>
        <v>○出場</v>
      </c>
      <c r="H16" s="5"/>
      <c r="I16" s="5" t="str">
        <f>IFERROR(__xludf.DUMMYFUNCTION("""COMPUTED_VALUE"""),"○参加する")</f>
        <v>○参加する</v>
      </c>
      <c r="J16" s="5"/>
      <c r="K16" s="12">
        <f t="shared" si="2"/>
        <v>1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>
        <f>IFERROR(__xludf.DUMMYFUNCTION("""COMPUTED_VALUE"""),330505.0)</f>
        <v>330505</v>
      </c>
      <c r="B17" s="5" t="str">
        <f>IFERROR(__xludf.DUMMYFUNCTION("""COMPUTED_VALUE"""),"増渕友汰")</f>
        <v>増渕友汰</v>
      </c>
      <c r="C17" s="5" t="str">
        <f>IFERROR(__xludf.DUMMYFUNCTION("""COMPUTED_VALUE"""),"ますぶちゆうた")</f>
        <v>ますぶちゆうた</v>
      </c>
      <c r="D17" s="5">
        <f>IFERROR(__xludf.DUMMYFUNCTION("""COMPUTED_VALUE"""),1.0)</f>
        <v>1</v>
      </c>
      <c r="E17" s="5" t="str">
        <f>IFERROR(__xludf.DUMMYFUNCTION("""COMPUTED_VALUE"""),"男")</f>
        <v>男</v>
      </c>
      <c r="F17" s="5" t="str">
        <f>IFERROR(__xludf.DUMMYFUNCTION("""COMPUTED_VALUE"""),"MUF")</f>
        <v>MUF</v>
      </c>
      <c r="G17" s="5" t="str">
        <f>IFERROR(__xludf.DUMMYFUNCTION("""COMPUTED_VALUE"""),"○出場")</f>
        <v>○出場</v>
      </c>
      <c r="H17" s="5">
        <f>IFERROR(__xludf.DUMMYFUNCTION("""COMPUTED_VALUE"""),518940.0)</f>
        <v>518940</v>
      </c>
      <c r="I17" s="5" t="str">
        <f>IFERROR(__xludf.DUMMYFUNCTION("""COMPUTED_VALUE"""),"○参加する")</f>
        <v>○参加する</v>
      </c>
      <c r="J17" s="5"/>
      <c r="K17" s="12">
        <f t="shared" si="2"/>
        <v>1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>
        <f>IFERROR(__xludf.DUMMYFUNCTION("""COMPUTED_VALUE"""),330506.0)</f>
        <v>330506</v>
      </c>
      <c r="B18" s="5" t="str">
        <f>IFERROR(__xludf.DUMMYFUNCTION("""COMPUTED_VALUE"""),"鈴木隼人")</f>
        <v>鈴木隼人</v>
      </c>
      <c r="C18" s="5" t="str">
        <f>IFERROR(__xludf.DUMMYFUNCTION("""COMPUTED_VALUE"""),"すずきはやと")</f>
        <v>すずきはやと</v>
      </c>
      <c r="D18" s="5">
        <f>IFERROR(__xludf.DUMMYFUNCTION("""COMPUTED_VALUE"""),1.0)</f>
        <v>1</v>
      </c>
      <c r="E18" s="5" t="str">
        <f>IFERROR(__xludf.DUMMYFUNCTION("""COMPUTED_VALUE"""),"男")</f>
        <v>男</v>
      </c>
      <c r="F18" s="5" t="str">
        <f>IFERROR(__xludf.DUMMYFUNCTION("""COMPUTED_VALUE"""),"MUF")</f>
        <v>MUF</v>
      </c>
      <c r="G18" s="5" t="str">
        <f>IFERROR(__xludf.DUMMYFUNCTION("""COMPUTED_VALUE"""),"○出場")</f>
        <v>○出場</v>
      </c>
      <c r="H18" s="5">
        <f>IFERROR(__xludf.DUMMYFUNCTION("""COMPUTED_VALUE"""),511166.0)</f>
        <v>511166</v>
      </c>
      <c r="I18" s="5" t="str">
        <f>IFERROR(__xludf.DUMMYFUNCTION("""COMPUTED_VALUE"""),"○参加する")</f>
        <v>○参加する</v>
      </c>
      <c r="J18" s="5"/>
      <c r="K18" s="12">
        <f t="shared" si="2"/>
        <v>1</v>
      </c>
      <c r="M18" s="5" t="s">
        <v>29</v>
      </c>
      <c r="N18" s="2" t="s">
        <v>563</v>
      </c>
      <c r="O18" s="4"/>
      <c r="P18" s="2" t="s">
        <v>2324</v>
      </c>
      <c r="Q18" s="3"/>
      <c r="R18" s="3"/>
      <c r="S18" s="3"/>
      <c r="T18" s="3"/>
      <c r="U18" s="4"/>
    </row>
    <row r="19" ht="19.5" customHeight="1">
      <c r="A19" s="5">
        <f>IFERROR(__xludf.DUMMYFUNCTION("""COMPUTED_VALUE"""),330507.0)</f>
        <v>330507</v>
      </c>
      <c r="B19" s="5" t="str">
        <f>IFERROR(__xludf.DUMMYFUNCTION("""COMPUTED_VALUE"""),"藤ノ木智大")</f>
        <v>藤ノ木智大</v>
      </c>
      <c r="C19" s="5" t="str">
        <f>IFERROR(__xludf.DUMMYFUNCTION("""COMPUTED_VALUE"""),"ふじのきともひろ")</f>
        <v>ふじのきともひろ</v>
      </c>
      <c r="D19" s="5">
        <f>IFERROR(__xludf.DUMMYFUNCTION("""COMPUTED_VALUE"""),1.0)</f>
        <v>1</v>
      </c>
      <c r="E19" s="5" t="str">
        <f>IFERROR(__xludf.DUMMYFUNCTION("""COMPUTED_VALUE"""),"男")</f>
        <v>男</v>
      </c>
      <c r="F19" s="5" t="str">
        <f>IFERROR(__xludf.DUMMYFUNCTION("""COMPUTED_VALUE"""),"MUF")</f>
        <v>MUF</v>
      </c>
      <c r="G19" s="5" t="str">
        <f>IFERROR(__xludf.DUMMYFUNCTION("""COMPUTED_VALUE"""),"○出場")</f>
        <v>○出場</v>
      </c>
      <c r="H19" s="5">
        <f>IFERROR(__xludf.DUMMYFUNCTION("""COMPUTED_VALUE"""),530334.0)</f>
        <v>530334</v>
      </c>
      <c r="I19" s="5" t="str">
        <f>IFERROR(__xludf.DUMMYFUNCTION("""COMPUTED_VALUE"""),"○参加する")</f>
        <v>○参加する</v>
      </c>
      <c r="J19" s="5"/>
      <c r="K19" s="12">
        <f t="shared" si="2"/>
        <v>1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>
        <f>IFERROR(__xludf.DUMMYFUNCTION("""COMPUTED_VALUE"""),330508.0)</f>
        <v>330508</v>
      </c>
      <c r="B20" s="5" t="str">
        <f>IFERROR(__xludf.DUMMYFUNCTION("""COMPUTED_VALUE"""),"山田海音")</f>
        <v>山田海音</v>
      </c>
      <c r="C20" s="5" t="str">
        <f>IFERROR(__xludf.DUMMYFUNCTION("""COMPUTED_VALUE"""),"やまだかいと")</f>
        <v>やまだかいと</v>
      </c>
      <c r="D20" s="5">
        <f>IFERROR(__xludf.DUMMYFUNCTION("""COMPUTED_VALUE"""),1.0)</f>
        <v>1</v>
      </c>
      <c r="E20" s="5" t="str">
        <f>IFERROR(__xludf.DUMMYFUNCTION("""COMPUTED_VALUE"""),"男")</f>
        <v>男</v>
      </c>
      <c r="F20" s="5" t="str">
        <f>IFERROR(__xludf.DUMMYFUNCTION("""COMPUTED_VALUE"""),"MUF")</f>
        <v>MUF</v>
      </c>
      <c r="G20" s="5" t="str">
        <f>IFERROR(__xludf.DUMMYFUNCTION("""COMPUTED_VALUE"""),"○出場")</f>
        <v>○出場</v>
      </c>
      <c r="H20" s="5">
        <f>IFERROR(__xludf.DUMMYFUNCTION("""COMPUTED_VALUE"""),530335.0)</f>
        <v>530335</v>
      </c>
      <c r="I20" s="5" t="str">
        <f>IFERROR(__xludf.DUMMYFUNCTION("""COMPUTED_VALUE"""),"○参加する")</f>
        <v>○参加する</v>
      </c>
      <c r="J20" s="5"/>
      <c r="K20" s="12">
        <f t="shared" si="2"/>
        <v>1</v>
      </c>
    </row>
    <row r="21" ht="19.5" customHeight="1">
      <c r="A21" s="5">
        <f>IFERROR(__xludf.DUMMYFUNCTION("""COMPUTED_VALUE"""),330510.0)</f>
        <v>330510</v>
      </c>
      <c r="B21" s="5" t="str">
        <f>IFERROR(__xludf.DUMMYFUNCTION("""COMPUTED_VALUE"""),"老野達哉")</f>
        <v>老野達哉</v>
      </c>
      <c r="C21" s="5" t="str">
        <f>IFERROR(__xludf.DUMMYFUNCTION("""COMPUTED_VALUE"""),"おいのたつや")</f>
        <v>おいのたつや</v>
      </c>
      <c r="D21" s="5">
        <f>IFERROR(__xludf.DUMMYFUNCTION("""COMPUTED_VALUE"""),1.0)</f>
        <v>1</v>
      </c>
      <c r="E21" s="5" t="str">
        <f>IFERROR(__xludf.DUMMYFUNCTION("""COMPUTED_VALUE"""),"男")</f>
        <v>男</v>
      </c>
      <c r="F21" s="5" t="str">
        <f>IFERROR(__xludf.DUMMYFUNCTION("""COMPUTED_VALUE"""),"MUF")</f>
        <v>MUF</v>
      </c>
      <c r="G21" s="5" t="str">
        <f>IFERROR(__xludf.DUMMYFUNCTION("""COMPUTED_VALUE"""),"○出場")</f>
        <v>○出場</v>
      </c>
      <c r="H21" s="5">
        <f>IFERROR(__xludf.DUMMYFUNCTION("""COMPUTED_VALUE"""),511067.0)</f>
        <v>511067</v>
      </c>
      <c r="I21" s="5" t="str">
        <f>IFERROR(__xludf.DUMMYFUNCTION("""COMPUTED_VALUE"""),"○参加する")</f>
        <v>○参加する</v>
      </c>
      <c r="J21" s="5"/>
      <c r="K21" s="12">
        <f t="shared" si="2"/>
        <v>1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>
        <f>IFERROR(__xludf.DUMMYFUNCTION("""COMPUTED_VALUE"""),330516.0)</f>
        <v>330516</v>
      </c>
      <c r="B22" s="5" t="str">
        <f>IFERROR(__xludf.DUMMYFUNCTION("""COMPUTED_VALUE"""),"岡田晟嗣")</f>
        <v>岡田晟嗣</v>
      </c>
      <c r="C22" s="5" t="str">
        <f>IFERROR(__xludf.DUMMYFUNCTION("""COMPUTED_VALUE"""),"おかだせいじ")</f>
        <v>おかだせいじ</v>
      </c>
      <c r="D22" s="5">
        <f>IFERROR(__xludf.DUMMYFUNCTION("""COMPUTED_VALUE"""),1.0)</f>
        <v>1</v>
      </c>
      <c r="E22" s="5" t="str">
        <f>IFERROR(__xludf.DUMMYFUNCTION("""COMPUTED_VALUE"""),"男")</f>
        <v>男</v>
      </c>
      <c r="F22" s="5" t="str">
        <f>IFERROR(__xludf.DUMMYFUNCTION("""COMPUTED_VALUE"""),"MUF")</f>
        <v>MUF</v>
      </c>
      <c r="G22" s="5" t="str">
        <f>IFERROR(__xludf.DUMMYFUNCTION("""COMPUTED_VALUE"""),"○出場")</f>
        <v>○出場</v>
      </c>
      <c r="H22" s="5"/>
      <c r="I22" s="5" t="str">
        <f>IFERROR(__xludf.DUMMYFUNCTION("""COMPUTED_VALUE"""),"○参加する")</f>
        <v>○参加する</v>
      </c>
      <c r="J22" s="5"/>
      <c r="K22" s="12">
        <f t="shared" si="2"/>
        <v>1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>
        <f>IFERROR(__xludf.DUMMYFUNCTION("""COMPUTED_VALUE"""),330517.0)</f>
        <v>330517</v>
      </c>
      <c r="B23" s="5" t="str">
        <f>IFERROR(__xludf.DUMMYFUNCTION("""COMPUTED_VALUE"""),"田中颯太朗")</f>
        <v>田中颯太朗</v>
      </c>
      <c r="C23" s="5" t="str">
        <f>IFERROR(__xludf.DUMMYFUNCTION("""COMPUTED_VALUE"""),"たなか　そうたろう")</f>
        <v>たなか　そうたろう</v>
      </c>
      <c r="D23" s="5">
        <f>IFERROR(__xludf.DUMMYFUNCTION("""COMPUTED_VALUE"""),1.0)</f>
        <v>1</v>
      </c>
      <c r="E23" s="5" t="str">
        <f>IFERROR(__xludf.DUMMYFUNCTION("""COMPUTED_VALUE"""),"男")</f>
        <v>男</v>
      </c>
      <c r="F23" s="5" t="str">
        <f>IFERROR(__xludf.DUMMYFUNCTION("""COMPUTED_VALUE"""),"MUF")</f>
        <v>MUF</v>
      </c>
      <c r="G23" s="5" t="str">
        <f>IFERROR(__xludf.DUMMYFUNCTION("""COMPUTED_VALUE"""),"○出場")</f>
        <v>○出場</v>
      </c>
      <c r="H23" s="5"/>
      <c r="I23" s="5" t="str">
        <f>IFERROR(__xludf.DUMMYFUNCTION("""COMPUTED_VALUE"""),"○参加する")</f>
        <v>○参加する</v>
      </c>
      <c r="J23" s="5"/>
      <c r="K23" s="12">
        <f t="shared" si="2"/>
        <v>1</v>
      </c>
      <c r="M23" s="2" t="str">
        <f>IFERROR(__xludf.DUMMYFUNCTION("FILTER('オフィシャル'!$B$2:$B$65,'オフィシャル'!$A$2:$A$65=A1)"),"宮嶋哲矢")</f>
        <v>宮嶋哲矢</v>
      </c>
      <c r="N23" s="4"/>
      <c r="O23" s="2" t="str">
        <f>IFERROR(__xludf.DUMMYFUNCTION("FILTER('オフィシャル'!$C$2:$C$65,'オフィシャル'!$A$2:$A$65=A1)"),"みやじまてつや")</f>
        <v>みやじまてつや</v>
      </c>
      <c r="P23" s="3"/>
      <c r="Q23" s="5" t="str">
        <f>IFERROR(__xludf.DUMMYFUNCTION("FILTER('オフィシャル'!$D$2:$D$65,'オフィシャル'!$A$2:$A$65=A1)"),"男")</f>
        <v>男</v>
      </c>
      <c r="R23" s="2" t="str">
        <f>IFERROR(__xludf.DUMMYFUNCTION("FILTER('オフィシャル'!$E$2:$E$65,'オフィシャル'!$A$2:$A$65=A1)"),"○する")</f>
        <v>○する</v>
      </c>
      <c r="S23" s="4"/>
      <c r="T23" s="14" t="str">
        <f>IFERROR(__xludf.DUMMYFUNCTION("FILTER('オフィシャル'!$F$2:$F$65,'オフィシャル'!$A$2:$A$65=A1)"),"")</f>
        <v/>
      </c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>
        <f>IFERROR(__xludf.DUMMYFUNCTION("""COMPUTED_VALUE"""),230501.0)</f>
        <v>230501</v>
      </c>
      <c r="B24" s="5" t="str">
        <f>IFERROR(__xludf.DUMMYFUNCTION("""COMPUTED_VALUE"""),"長澤徳英")</f>
        <v>長澤徳英</v>
      </c>
      <c r="C24" s="5" t="str">
        <f>IFERROR(__xludf.DUMMYFUNCTION("""COMPUTED_VALUE"""),"ながさわとくひで")</f>
        <v>ながさわとくひで</v>
      </c>
      <c r="D24" s="5">
        <f>IFERROR(__xludf.DUMMYFUNCTION("""COMPUTED_VALUE"""),2.0)</f>
        <v>2</v>
      </c>
      <c r="E24" s="5" t="str">
        <f>IFERROR(__xludf.DUMMYFUNCTION("""COMPUTED_VALUE"""),"男")</f>
        <v>男</v>
      </c>
      <c r="F24" s="5" t="str">
        <f>IFERROR(__xludf.DUMMYFUNCTION("""COMPUTED_VALUE"""),"MUA")</f>
        <v>MUA</v>
      </c>
      <c r="G24" s="5" t="str">
        <f>IFERROR(__xludf.DUMMYFUNCTION("""COMPUTED_VALUE"""),"○出場")</f>
        <v>○出場</v>
      </c>
      <c r="H24" s="5">
        <f>IFERROR(__xludf.DUMMYFUNCTION("""COMPUTED_VALUE"""),518935.0)</f>
        <v>518935</v>
      </c>
      <c r="I24" s="5" t="str">
        <f>IFERROR(__xludf.DUMMYFUNCTION("""COMPUTED_VALUE"""),"○参加する")</f>
        <v>○参加する</v>
      </c>
      <c r="J24" s="5"/>
      <c r="K24" s="12">
        <f t="shared" si="2"/>
        <v>1</v>
      </c>
      <c r="M24" s="2" t="str">
        <f>IFERROR(__xludf.DUMMYFUNCTION("""COMPUTED_VALUE"""),"笠井虹汰")</f>
        <v>笠井虹汰</v>
      </c>
      <c r="N24" s="4"/>
      <c r="O24" s="2" t="str">
        <f>IFERROR(__xludf.DUMMYFUNCTION("""COMPUTED_VALUE"""),"かさいこうた")</f>
        <v>かさいこうた</v>
      </c>
      <c r="P24" s="3"/>
      <c r="Q24" s="5" t="str">
        <f>IFERROR(__xludf.DUMMYFUNCTION("""COMPUTED_VALUE"""),"男")</f>
        <v>男</v>
      </c>
      <c r="R24" s="2" t="str">
        <f>IFERROR(__xludf.DUMMYFUNCTION("""COMPUTED_VALUE"""),"○する")</f>
        <v>○する</v>
      </c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>
        <f>IFERROR(__xludf.DUMMYFUNCTION("""COMPUTED_VALUE"""),230503.0)</f>
        <v>230503</v>
      </c>
      <c r="B25" s="5" t="str">
        <f>IFERROR(__xludf.DUMMYFUNCTION("""COMPUTED_VALUE"""),"古谷那奈")</f>
        <v>古谷那奈</v>
      </c>
      <c r="C25" s="5" t="str">
        <f>IFERROR(__xludf.DUMMYFUNCTION("""COMPUTED_VALUE"""),"ふるたになな")</f>
        <v>ふるたになな</v>
      </c>
      <c r="D25" s="5">
        <f>IFERROR(__xludf.DUMMYFUNCTION("""COMPUTED_VALUE"""),2.0)</f>
        <v>2</v>
      </c>
      <c r="E25" s="5" t="str">
        <f>IFERROR(__xludf.DUMMYFUNCTION("""COMPUTED_VALUE"""),"女")</f>
        <v>女</v>
      </c>
      <c r="F25" s="5" t="str">
        <f>IFERROR(__xludf.DUMMYFUNCTION("""COMPUTED_VALUE"""),"WUA")</f>
        <v>WUA</v>
      </c>
      <c r="G25" s="5" t="str">
        <f>IFERROR(__xludf.DUMMYFUNCTION("""COMPUTED_VALUE"""),"○出場")</f>
        <v>○出場</v>
      </c>
      <c r="H25" s="5"/>
      <c r="I25" s="5" t="str">
        <f>IFERROR(__xludf.DUMMYFUNCTION("""COMPUTED_VALUE"""),"○参加する")</f>
        <v>○参加する</v>
      </c>
      <c r="J25" s="5"/>
      <c r="K25" s="12">
        <f t="shared" si="2"/>
        <v>1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>
        <f>IFERROR(__xludf.DUMMYFUNCTION("""COMPUTED_VALUE"""),230504.0)</f>
        <v>230504</v>
      </c>
      <c r="B26" s="5" t="str">
        <f>IFERROR(__xludf.DUMMYFUNCTION("""COMPUTED_VALUE"""),"照井真実")</f>
        <v>照井真実</v>
      </c>
      <c r="C26" s="5" t="str">
        <f>IFERROR(__xludf.DUMMYFUNCTION("""COMPUTED_VALUE"""),"てるいまみ")</f>
        <v>てるいまみ</v>
      </c>
      <c r="D26" s="5">
        <f>IFERROR(__xludf.DUMMYFUNCTION("""COMPUTED_VALUE"""),2.0)</f>
        <v>2</v>
      </c>
      <c r="E26" s="5" t="str">
        <f>IFERROR(__xludf.DUMMYFUNCTION("""COMPUTED_VALUE"""),"女")</f>
        <v>女</v>
      </c>
      <c r="F26" s="5" t="str">
        <f>IFERROR(__xludf.DUMMYFUNCTION("""COMPUTED_VALUE"""),"×欠場")</f>
        <v>×欠場</v>
      </c>
      <c r="G26" s="5" t="str">
        <f>IFERROR(__xludf.DUMMYFUNCTION("""COMPUTED_VALUE"""),"○出場")</f>
        <v>○出場</v>
      </c>
      <c r="H26" s="5"/>
      <c r="I26" s="5" t="str">
        <f>IFERROR(__xludf.DUMMYFUNCTION("""COMPUTED_VALUE"""),"×参加しない")</f>
        <v>×参加しない</v>
      </c>
      <c r="J26" s="5" t="str">
        <f>IFERROR(__xludf.DUMMYFUNCTION("""COMPUTED_VALUE"""),"3月15、16日")</f>
        <v>3月15、16日</v>
      </c>
      <c r="K26" s="12">
        <f t="shared" si="2"/>
        <v>1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>
        <f>IFERROR(__xludf.DUMMYFUNCTION("""COMPUTED_VALUE"""),230505.0)</f>
        <v>230505</v>
      </c>
      <c r="B27" s="5" t="str">
        <f>IFERROR(__xludf.DUMMYFUNCTION("""COMPUTED_VALUE"""),"市川楓大")</f>
        <v>市川楓大</v>
      </c>
      <c r="C27" s="5" t="str">
        <f>IFERROR(__xludf.DUMMYFUNCTION("""COMPUTED_VALUE"""),"いちかわふうた")</f>
        <v>いちかわふうた</v>
      </c>
      <c r="D27" s="5">
        <f>IFERROR(__xludf.DUMMYFUNCTION("""COMPUTED_VALUE"""),2.0)</f>
        <v>2</v>
      </c>
      <c r="E27" s="5" t="str">
        <f>IFERROR(__xludf.DUMMYFUNCTION("""COMPUTED_VALUE"""),"男")</f>
        <v>男</v>
      </c>
      <c r="F27" s="5" t="str">
        <f>IFERROR(__xludf.DUMMYFUNCTION("""COMPUTED_VALUE"""),"MUA")</f>
        <v>MUA</v>
      </c>
      <c r="G27" s="5" t="str">
        <f>IFERROR(__xludf.DUMMYFUNCTION("""COMPUTED_VALUE"""),"○出場")</f>
        <v>○出場</v>
      </c>
      <c r="H27" s="5">
        <f>IFERROR(__xludf.DUMMYFUNCTION("""COMPUTED_VALUE"""),511061.0)</f>
        <v>511061</v>
      </c>
      <c r="I27" s="5" t="str">
        <f>IFERROR(__xludf.DUMMYFUNCTION("""COMPUTED_VALUE"""),"○参加する")</f>
        <v>○参加する</v>
      </c>
      <c r="J27" s="5"/>
      <c r="K27" s="12">
        <f t="shared" si="2"/>
        <v>1</v>
      </c>
    </row>
    <row r="28" ht="19.5" customHeight="1">
      <c r="A28" s="5">
        <f>IFERROR(__xludf.DUMMYFUNCTION("""COMPUTED_VALUE"""),230508.0)</f>
        <v>230508</v>
      </c>
      <c r="B28" s="5" t="str">
        <f>IFERROR(__xludf.DUMMYFUNCTION("""COMPUTED_VALUE"""),"片岡明日香")</f>
        <v>片岡明日香</v>
      </c>
      <c r="C28" s="5" t="str">
        <f>IFERROR(__xludf.DUMMYFUNCTION("""COMPUTED_VALUE"""),"かたおかあすか")</f>
        <v>かたおかあすか</v>
      </c>
      <c r="D28" s="5">
        <f>IFERROR(__xludf.DUMMYFUNCTION("""COMPUTED_VALUE"""),2.0)</f>
        <v>2</v>
      </c>
      <c r="E28" s="5" t="str">
        <f>IFERROR(__xludf.DUMMYFUNCTION("""COMPUTED_VALUE"""),"女")</f>
        <v>女</v>
      </c>
      <c r="F28" s="5" t="str">
        <f>IFERROR(__xludf.DUMMYFUNCTION("""COMPUTED_VALUE"""),"WUA")</f>
        <v>WUA</v>
      </c>
      <c r="G28" s="5" t="str">
        <f>IFERROR(__xludf.DUMMYFUNCTION("""COMPUTED_VALUE"""),"○出場")</f>
        <v>○出場</v>
      </c>
      <c r="H28" s="5">
        <f>IFERROR(__xludf.DUMMYFUNCTION("""COMPUTED_VALUE"""),511059.0)</f>
        <v>511059</v>
      </c>
      <c r="I28" s="5" t="str">
        <f>IFERROR(__xludf.DUMMYFUNCTION("""COMPUTED_VALUE"""),"○参加する")</f>
        <v>○参加する</v>
      </c>
      <c r="J28" s="5"/>
      <c r="K28" s="12">
        <f t="shared" si="2"/>
        <v>1</v>
      </c>
    </row>
    <row r="29" ht="19.5" customHeight="1">
      <c r="A29" s="5">
        <f>IFERROR(__xludf.DUMMYFUNCTION("""COMPUTED_VALUE"""),230510.0)</f>
        <v>230510</v>
      </c>
      <c r="B29" s="5" t="str">
        <f>IFERROR(__xludf.DUMMYFUNCTION("""COMPUTED_VALUE"""),"小野萌菜")</f>
        <v>小野萌菜</v>
      </c>
      <c r="C29" s="5" t="str">
        <f>IFERROR(__xludf.DUMMYFUNCTION("""COMPUTED_VALUE"""),"おのもえな")</f>
        <v>おのもえな</v>
      </c>
      <c r="D29" s="5">
        <f>IFERROR(__xludf.DUMMYFUNCTION("""COMPUTED_VALUE"""),2.0)</f>
        <v>2</v>
      </c>
      <c r="E29" s="5" t="str">
        <f>IFERROR(__xludf.DUMMYFUNCTION("""COMPUTED_VALUE"""),"女")</f>
        <v>女</v>
      </c>
      <c r="F29" s="5" t="str">
        <f>IFERROR(__xludf.DUMMYFUNCTION("""COMPUTED_VALUE"""),"WUA")</f>
        <v>WUA</v>
      </c>
      <c r="G29" s="5" t="str">
        <f>IFERROR(__xludf.DUMMYFUNCTION("""COMPUTED_VALUE"""),"○出場")</f>
        <v>○出場</v>
      </c>
      <c r="H29" s="5">
        <f>IFERROR(__xludf.DUMMYFUNCTION("""COMPUTED_VALUE"""),530332.0)</f>
        <v>530332</v>
      </c>
      <c r="I29" s="5" t="str">
        <f>IFERROR(__xludf.DUMMYFUNCTION("""COMPUTED_VALUE"""),"○参加する")</f>
        <v>○参加する</v>
      </c>
      <c r="J29" s="5"/>
      <c r="K29" s="12">
        <f t="shared" si="2"/>
        <v>1</v>
      </c>
    </row>
    <row r="30" ht="19.5" customHeight="1">
      <c r="A30" s="5">
        <f>IFERROR(__xludf.DUMMYFUNCTION("""COMPUTED_VALUE"""),230514.0)</f>
        <v>230514</v>
      </c>
      <c r="B30" s="5" t="str">
        <f>IFERROR(__xludf.DUMMYFUNCTION("""COMPUTED_VALUE"""),"皆上直香")</f>
        <v>皆上直香</v>
      </c>
      <c r="C30" s="5" t="str">
        <f>IFERROR(__xludf.DUMMYFUNCTION("""COMPUTED_VALUE"""),"みなかみなおか")</f>
        <v>みなかみなおか</v>
      </c>
      <c r="D30" s="5">
        <f>IFERROR(__xludf.DUMMYFUNCTION("""COMPUTED_VALUE"""),2.0)</f>
        <v>2</v>
      </c>
      <c r="E30" s="5" t="str">
        <f>IFERROR(__xludf.DUMMYFUNCTION("""COMPUTED_VALUE"""),"女")</f>
        <v>女</v>
      </c>
      <c r="F30" s="5" t="str">
        <f>IFERROR(__xludf.DUMMYFUNCTION("""COMPUTED_VALUE"""),"WUA")</f>
        <v>WUA</v>
      </c>
      <c r="G30" s="5" t="str">
        <f>IFERROR(__xludf.DUMMYFUNCTION("""COMPUTED_VALUE"""),"○出場")</f>
        <v>○出場</v>
      </c>
      <c r="H30" s="5">
        <f>IFERROR(__xludf.DUMMYFUNCTION("""COMPUTED_VALUE"""),518938.0)</f>
        <v>518938</v>
      </c>
      <c r="I30" s="5" t="str">
        <f>IFERROR(__xludf.DUMMYFUNCTION("""COMPUTED_VALUE"""),"○参加する")</f>
        <v>○参加する</v>
      </c>
      <c r="J30" s="5"/>
      <c r="K30" s="12">
        <f t="shared" si="2"/>
        <v>1</v>
      </c>
    </row>
    <row r="31" ht="19.5" customHeight="1">
      <c r="A31" s="5">
        <f>IFERROR(__xludf.DUMMYFUNCTION("""COMPUTED_VALUE"""),130503.0)</f>
        <v>130503</v>
      </c>
      <c r="B31" s="5" t="str">
        <f>IFERROR(__xludf.DUMMYFUNCTION("""COMPUTED_VALUE"""),"森旭陽")</f>
        <v>森旭陽</v>
      </c>
      <c r="C31" s="5" t="str">
        <f>IFERROR(__xludf.DUMMYFUNCTION("""COMPUTED_VALUE"""),"もりあさひ")</f>
        <v>もりあさひ</v>
      </c>
      <c r="D31" s="5">
        <f>IFERROR(__xludf.DUMMYFUNCTION("""COMPUTED_VALUE"""),3.0)</f>
        <v>3</v>
      </c>
      <c r="E31" s="5" t="str">
        <f>IFERROR(__xludf.DUMMYFUNCTION("""COMPUTED_VALUE"""),"男")</f>
        <v>男</v>
      </c>
      <c r="F31" s="5" t="str">
        <f>IFERROR(__xludf.DUMMYFUNCTION("""COMPUTED_VALUE"""),"MUA")</f>
        <v>MUA</v>
      </c>
      <c r="G31" s="5" t="str">
        <f>IFERROR(__xludf.DUMMYFUNCTION("""COMPUTED_VALUE"""),"○出場")</f>
        <v>○出場</v>
      </c>
      <c r="H31" s="5">
        <f>IFERROR(__xludf.DUMMYFUNCTION("""COMPUTED_VALUE"""),518937.0)</f>
        <v>518937</v>
      </c>
      <c r="I31" s="5" t="str">
        <f>IFERROR(__xludf.DUMMYFUNCTION("""COMPUTED_VALUE"""),"○参加する")</f>
        <v>○参加する</v>
      </c>
      <c r="J31" s="5"/>
      <c r="K31" s="12">
        <f t="shared" si="2"/>
        <v>1</v>
      </c>
    </row>
    <row r="32" ht="19.5" customHeight="1">
      <c r="A32" s="5">
        <f>IFERROR(__xludf.DUMMYFUNCTION("""COMPUTED_VALUE"""),130504.0)</f>
        <v>130504</v>
      </c>
      <c r="B32" s="5" t="str">
        <f>IFERROR(__xludf.DUMMYFUNCTION("""COMPUTED_VALUE"""),"冨田明花")</f>
        <v>冨田明花</v>
      </c>
      <c r="C32" s="5" t="str">
        <f>IFERROR(__xludf.DUMMYFUNCTION("""COMPUTED_VALUE"""),"とみためいか")</f>
        <v>とみためいか</v>
      </c>
      <c r="D32" s="5">
        <f>IFERROR(__xludf.DUMMYFUNCTION("""COMPUTED_VALUE"""),3.0)</f>
        <v>3</v>
      </c>
      <c r="E32" s="5" t="str">
        <f>IFERROR(__xludf.DUMMYFUNCTION("""COMPUTED_VALUE"""),"女")</f>
        <v>女</v>
      </c>
      <c r="F32" s="5" t="str">
        <f>IFERROR(__xludf.DUMMYFUNCTION("""COMPUTED_VALUE"""),"WUA")</f>
        <v>WUA</v>
      </c>
      <c r="G32" s="5" t="str">
        <f>IFERROR(__xludf.DUMMYFUNCTION("""COMPUTED_VALUE"""),"○出場")</f>
        <v>○出場</v>
      </c>
      <c r="H32" s="5">
        <f>IFERROR(__xludf.DUMMYFUNCTION("""COMPUTED_VALUE"""),518933.0)</f>
        <v>518933</v>
      </c>
      <c r="I32" s="5" t="str">
        <f>IFERROR(__xludf.DUMMYFUNCTION("""COMPUTED_VALUE"""),"○参加する")</f>
        <v>○参加する</v>
      </c>
      <c r="J32" s="5"/>
      <c r="K32" s="12">
        <f t="shared" si="2"/>
        <v>1</v>
      </c>
    </row>
    <row r="33" ht="19.5" customHeight="1">
      <c r="A33" s="5">
        <f>IFERROR(__xludf.DUMMYFUNCTION("""COMPUTED_VALUE"""),130506.0)</f>
        <v>130506</v>
      </c>
      <c r="B33" s="5" t="str">
        <f>IFERROR(__xludf.DUMMYFUNCTION("""COMPUTED_VALUE"""),"高田滉平")</f>
        <v>高田滉平</v>
      </c>
      <c r="C33" s="5" t="str">
        <f>IFERROR(__xludf.DUMMYFUNCTION("""COMPUTED_VALUE"""),"たかだこうへい")</f>
        <v>たかだこうへい</v>
      </c>
      <c r="D33" s="5">
        <f>IFERROR(__xludf.DUMMYFUNCTION("""COMPUTED_VALUE"""),3.0)</f>
        <v>3</v>
      </c>
      <c r="E33" s="5" t="str">
        <f>IFERROR(__xludf.DUMMYFUNCTION("""COMPUTED_VALUE"""),"男")</f>
        <v>男</v>
      </c>
      <c r="F33" s="5" t="str">
        <f>IFERROR(__xludf.DUMMYFUNCTION("""COMPUTED_VALUE"""),"MUA")</f>
        <v>MUA</v>
      </c>
      <c r="G33" s="5" t="str">
        <f>IFERROR(__xludf.DUMMYFUNCTION("""COMPUTED_VALUE"""),"○出場")</f>
        <v>○出場</v>
      </c>
      <c r="H33" s="5">
        <f>IFERROR(__xludf.DUMMYFUNCTION("""COMPUTED_VALUE"""),511060.0)</f>
        <v>511060</v>
      </c>
      <c r="I33" s="5" t="str">
        <f>IFERROR(__xludf.DUMMYFUNCTION("""COMPUTED_VALUE"""),"○参加する")</f>
        <v>○参加する</v>
      </c>
      <c r="J33" s="5"/>
      <c r="K33" s="12">
        <f t="shared" si="2"/>
        <v>1</v>
      </c>
    </row>
    <row r="34" ht="19.5" customHeight="1">
      <c r="A34" s="5">
        <f>IFERROR(__xludf.DUMMYFUNCTION("""COMPUTED_VALUE"""),130507.0)</f>
        <v>130507</v>
      </c>
      <c r="B34" s="5" t="str">
        <f>IFERROR(__xludf.DUMMYFUNCTION("""COMPUTED_VALUE"""),"寺町俊輝")</f>
        <v>寺町俊輝</v>
      </c>
      <c r="C34" s="5" t="str">
        <f>IFERROR(__xludf.DUMMYFUNCTION("""COMPUTED_VALUE"""),"てらまちとしき")</f>
        <v>てらまちとしき</v>
      </c>
      <c r="D34" s="5">
        <f>IFERROR(__xludf.DUMMYFUNCTION("""COMPUTED_VALUE"""),3.0)</f>
        <v>3</v>
      </c>
      <c r="E34" s="5" t="str">
        <f>IFERROR(__xludf.DUMMYFUNCTION("""COMPUTED_VALUE"""),"男")</f>
        <v>男</v>
      </c>
      <c r="F34" s="5" t="str">
        <f>IFERROR(__xludf.DUMMYFUNCTION("""COMPUTED_VALUE"""),"MUA")</f>
        <v>MUA</v>
      </c>
      <c r="G34" s="5" t="str">
        <f>IFERROR(__xludf.DUMMYFUNCTION("""COMPUTED_VALUE"""),"○出場")</f>
        <v>○出場</v>
      </c>
      <c r="H34" s="5">
        <f>IFERROR(__xludf.DUMMYFUNCTION("""COMPUTED_VALUE"""),530330.0)</f>
        <v>530330</v>
      </c>
      <c r="I34" s="5" t="str">
        <f>IFERROR(__xludf.DUMMYFUNCTION("""COMPUTED_VALUE"""),"○参加する")</f>
        <v>○参加する</v>
      </c>
      <c r="J34" s="5"/>
      <c r="K34" s="12">
        <f t="shared" si="2"/>
        <v>1</v>
      </c>
    </row>
    <row r="35" ht="19.5" customHeight="1">
      <c r="A35" s="5">
        <f>IFERROR(__xludf.DUMMYFUNCTION("""COMPUTED_VALUE"""),130508.0)</f>
        <v>130508</v>
      </c>
      <c r="B35" s="5" t="str">
        <f>IFERROR(__xludf.DUMMYFUNCTION("""COMPUTED_VALUE"""),"石原怜甫")</f>
        <v>石原怜甫</v>
      </c>
      <c r="C35" s="5" t="str">
        <f>IFERROR(__xludf.DUMMYFUNCTION("""COMPUTED_VALUE"""),"いしはらりょうすけ")</f>
        <v>いしはらりょうすけ</v>
      </c>
      <c r="D35" s="5">
        <f>IFERROR(__xludf.DUMMYFUNCTION("""COMPUTED_VALUE"""),3.0)</f>
        <v>3</v>
      </c>
      <c r="E35" s="5" t="str">
        <f>IFERROR(__xludf.DUMMYFUNCTION("""COMPUTED_VALUE"""),"男")</f>
        <v>男</v>
      </c>
      <c r="F35" s="5" t="str">
        <f>IFERROR(__xludf.DUMMYFUNCTION("""COMPUTED_VALUE"""),"MUA")</f>
        <v>MUA</v>
      </c>
      <c r="G35" s="5" t="str">
        <f>IFERROR(__xludf.DUMMYFUNCTION("""COMPUTED_VALUE"""),"○出場")</f>
        <v>○出場</v>
      </c>
      <c r="H35" s="5">
        <f>IFERROR(__xludf.DUMMYFUNCTION("""COMPUTED_VALUE"""),518931.0)</f>
        <v>518931</v>
      </c>
      <c r="I35" s="5" t="str">
        <f>IFERROR(__xludf.DUMMYFUNCTION("""COMPUTED_VALUE"""),"○参加する")</f>
        <v>○参加する</v>
      </c>
      <c r="J35" s="5"/>
      <c r="K35" s="12">
        <f t="shared" si="2"/>
        <v>1</v>
      </c>
    </row>
    <row r="36" ht="19.5" customHeight="1">
      <c r="A36" s="5">
        <f>IFERROR(__xludf.DUMMYFUNCTION("""COMPUTED_VALUE"""),130509.0)</f>
        <v>130509</v>
      </c>
      <c r="B36" s="5" t="str">
        <f>IFERROR(__xludf.DUMMYFUNCTION("""COMPUTED_VALUE"""),"高塚碩己")</f>
        <v>高塚碩己</v>
      </c>
      <c r="C36" s="5" t="str">
        <f>IFERROR(__xludf.DUMMYFUNCTION("""COMPUTED_VALUE"""),"たかつかひろき")</f>
        <v>たかつかひろき</v>
      </c>
      <c r="D36" s="5">
        <f>IFERROR(__xludf.DUMMYFUNCTION("""COMPUTED_VALUE"""),3.0)</f>
        <v>3</v>
      </c>
      <c r="E36" s="5" t="str">
        <f>IFERROR(__xludf.DUMMYFUNCTION("""COMPUTED_VALUE"""),"男")</f>
        <v>男</v>
      </c>
      <c r="F36" s="5" t="str">
        <f>IFERROR(__xludf.DUMMYFUNCTION("""COMPUTED_VALUE"""),"MUA")</f>
        <v>MUA</v>
      </c>
      <c r="G36" s="5" t="str">
        <f>IFERROR(__xludf.DUMMYFUNCTION("""COMPUTED_VALUE"""),"○出場")</f>
        <v>○出場</v>
      </c>
      <c r="H36" s="5">
        <f>IFERROR(__xludf.DUMMYFUNCTION("""COMPUTED_VALUE"""),518934.0)</f>
        <v>518934</v>
      </c>
      <c r="I36" s="5" t="str">
        <f>IFERROR(__xludf.DUMMYFUNCTION("""COMPUTED_VALUE"""),"○参加する")</f>
        <v>○参加する</v>
      </c>
      <c r="J36" s="5"/>
      <c r="K36" s="12">
        <f t="shared" si="2"/>
        <v>1</v>
      </c>
    </row>
    <row r="37" ht="19.5" customHeight="1">
      <c r="A37" s="5">
        <f>IFERROR(__xludf.DUMMYFUNCTION("""COMPUTED_VALUE"""),130512.0)</f>
        <v>130512</v>
      </c>
      <c r="B37" s="5" t="str">
        <f>IFERROR(__xludf.DUMMYFUNCTION("""COMPUTED_VALUE"""),"北原隆明")</f>
        <v>北原隆明</v>
      </c>
      <c r="C37" s="5" t="str">
        <f>IFERROR(__xludf.DUMMYFUNCTION("""COMPUTED_VALUE"""),"きたはらたかあき")</f>
        <v>きたはらたかあき</v>
      </c>
      <c r="D37" s="5">
        <f>IFERROR(__xludf.DUMMYFUNCTION("""COMPUTED_VALUE"""),3.0)</f>
        <v>3</v>
      </c>
      <c r="E37" s="5" t="str">
        <f>IFERROR(__xludf.DUMMYFUNCTION("""COMPUTED_VALUE"""),"男")</f>
        <v>男</v>
      </c>
      <c r="F37" s="5" t="str">
        <f>IFERROR(__xludf.DUMMYFUNCTION("""COMPUTED_VALUE"""),"MUA")</f>
        <v>MUA</v>
      </c>
      <c r="G37" s="5" t="str">
        <f>IFERROR(__xludf.DUMMYFUNCTION("""COMPUTED_VALUE"""),"○出場")</f>
        <v>○出場</v>
      </c>
      <c r="H37" s="5">
        <f>IFERROR(__xludf.DUMMYFUNCTION("""COMPUTED_VALUE"""),518939.0)</f>
        <v>518939</v>
      </c>
      <c r="I37" s="5" t="str">
        <f>IFERROR(__xludf.DUMMYFUNCTION("""COMPUTED_VALUE"""),"○参加する")</f>
        <v>○参加する</v>
      </c>
      <c r="J37" s="5"/>
      <c r="K37" s="12">
        <f t="shared" si="2"/>
        <v>1</v>
      </c>
    </row>
    <row r="38" ht="19.5" customHeight="1">
      <c r="A38" s="5">
        <f>IFERROR(__xludf.DUMMYFUNCTION("""COMPUTED_VALUE"""),130513.0)</f>
        <v>130513</v>
      </c>
      <c r="B38" s="5" t="str">
        <f>IFERROR(__xludf.DUMMYFUNCTION("""COMPUTED_VALUE"""),"八房穣")</f>
        <v>八房穣</v>
      </c>
      <c r="C38" s="5" t="str">
        <f>IFERROR(__xludf.DUMMYFUNCTION("""COMPUTED_VALUE"""),"やぶさじょう")</f>
        <v>やぶさじょう</v>
      </c>
      <c r="D38" s="5">
        <f>IFERROR(__xludf.DUMMYFUNCTION("""COMPUTED_VALUE"""),3.0)</f>
        <v>3</v>
      </c>
      <c r="E38" s="5" t="str">
        <f>IFERROR(__xludf.DUMMYFUNCTION("""COMPUTED_VALUE"""),"男")</f>
        <v>男</v>
      </c>
      <c r="F38" s="5" t="str">
        <f>IFERROR(__xludf.DUMMYFUNCTION("""COMPUTED_VALUE"""),"MUA")</f>
        <v>MUA</v>
      </c>
      <c r="G38" s="5" t="str">
        <f>IFERROR(__xludf.DUMMYFUNCTION("""COMPUTED_VALUE"""),"○出場")</f>
        <v>○出場</v>
      </c>
      <c r="H38" s="5">
        <f>IFERROR(__xludf.DUMMYFUNCTION("""COMPUTED_VALUE"""),518941.0)</f>
        <v>518941</v>
      </c>
      <c r="I38" s="5" t="str">
        <f>IFERROR(__xludf.DUMMYFUNCTION("""COMPUTED_VALUE"""),"○参加する")</f>
        <v>○参加する</v>
      </c>
      <c r="J38" s="5"/>
      <c r="K38" s="12">
        <f t="shared" si="2"/>
        <v>1</v>
      </c>
    </row>
    <row r="39" ht="19.5" customHeight="1">
      <c r="A39" s="5">
        <f>IFERROR(__xludf.DUMMYFUNCTION("""COMPUTED_VALUE"""),30502.0)</f>
        <v>30502</v>
      </c>
      <c r="B39" s="5" t="str">
        <f>IFERROR(__xludf.DUMMYFUNCTION("""COMPUTED_VALUE"""),"佐藤 宏紀")</f>
        <v>佐藤 宏紀</v>
      </c>
      <c r="C39" s="5" t="str">
        <f>IFERROR(__xludf.DUMMYFUNCTION("""COMPUTED_VALUE"""),"さとう ひろき")</f>
        <v>さとう ひろき</v>
      </c>
      <c r="D39" s="5">
        <f>IFERROR(__xludf.DUMMYFUNCTION("""COMPUTED_VALUE"""),4.0)</f>
        <v>4</v>
      </c>
      <c r="E39" s="5" t="str">
        <f>IFERROR(__xludf.DUMMYFUNCTION("""COMPUTED_VALUE"""),"男")</f>
        <v>男</v>
      </c>
      <c r="F39" s="5" t="str">
        <f>IFERROR(__xludf.DUMMYFUNCTION("""COMPUTED_VALUE"""),"MUA")</f>
        <v>MUA</v>
      </c>
      <c r="G39" s="5" t="str">
        <f>IFERROR(__xludf.DUMMYFUNCTION("""COMPUTED_VALUE"""),"○出場")</f>
        <v>○出場</v>
      </c>
      <c r="H39" s="5">
        <f>IFERROR(__xludf.DUMMYFUNCTION("""COMPUTED_VALUE"""),530331.0)</f>
        <v>530331</v>
      </c>
      <c r="I39" s="5" t="str">
        <f>IFERROR(__xludf.DUMMYFUNCTION("""COMPUTED_VALUE"""),"○参加する")</f>
        <v>○参加する</v>
      </c>
      <c r="J39" s="5"/>
      <c r="K39" s="12">
        <f t="shared" si="2"/>
        <v>1</v>
      </c>
    </row>
    <row r="40" ht="19.5" customHeight="1">
      <c r="A40" s="5">
        <f>IFERROR(__xludf.DUMMYFUNCTION("""COMPUTED_VALUE"""),30504.0)</f>
        <v>30504</v>
      </c>
      <c r="B40" s="5" t="str">
        <f>IFERROR(__xludf.DUMMYFUNCTION("""COMPUTED_VALUE"""),"大六野 祐斗")</f>
        <v>大六野 祐斗</v>
      </c>
      <c r="C40" s="5" t="str">
        <f>IFERROR(__xludf.DUMMYFUNCTION("""COMPUTED_VALUE"""),"だいろくの ゆうと")</f>
        <v>だいろくの ゆうと</v>
      </c>
      <c r="D40" s="5">
        <f>IFERROR(__xludf.DUMMYFUNCTION("""COMPUTED_VALUE"""),4.0)</f>
        <v>4</v>
      </c>
      <c r="E40" s="5" t="str">
        <f>IFERROR(__xludf.DUMMYFUNCTION("""COMPUTED_VALUE"""),"男")</f>
        <v>男</v>
      </c>
      <c r="F40" s="5" t="str">
        <f>IFERROR(__xludf.DUMMYFUNCTION("""COMPUTED_VALUE"""),"MUA")</f>
        <v>MUA</v>
      </c>
      <c r="G40" s="5" t="str">
        <f>IFERROR(__xludf.DUMMYFUNCTION("""COMPUTED_VALUE"""),"○出場")</f>
        <v>○出場</v>
      </c>
      <c r="H40" s="5">
        <f>IFERROR(__xludf.DUMMYFUNCTION("""COMPUTED_VALUE"""),530336.0)</f>
        <v>530336</v>
      </c>
      <c r="I40" s="5" t="str">
        <f>IFERROR(__xludf.DUMMYFUNCTION("""COMPUTED_VALUE"""),"○参加する")</f>
        <v>○参加する</v>
      </c>
      <c r="J40" s="5"/>
      <c r="K40" s="12">
        <f t="shared" si="2"/>
        <v>1</v>
      </c>
    </row>
    <row r="41" ht="19.5" customHeight="1">
      <c r="A41" s="5">
        <f>IFERROR(__xludf.DUMMYFUNCTION("""COMPUTED_VALUE"""),30505.0)</f>
        <v>30505</v>
      </c>
      <c r="B41" s="5" t="str">
        <f>IFERROR(__xludf.DUMMYFUNCTION("""COMPUTED_VALUE"""),"真家 遼介")</f>
        <v>真家 遼介</v>
      </c>
      <c r="C41" s="5" t="str">
        <f>IFERROR(__xludf.DUMMYFUNCTION("""COMPUTED_VALUE"""),"まいえ りょうすけ")</f>
        <v>まいえ りょうすけ</v>
      </c>
      <c r="D41" s="5">
        <f>IFERROR(__xludf.DUMMYFUNCTION("""COMPUTED_VALUE"""),4.0)</f>
        <v>4</v>
      </c>
      <c r="E41" s="5" t="str">
        <f>IFERROR(__xludf.DUMMYFUNCTION("""COMPUTED_VALUE"""),"男")</f>
        <v>男</v>
      </c>
      <c r="F41" s="5" t="str">
        <f>IFERROR(__xludf.DUMMYFUNCTION("""COMPUTED_VALUE"""),"MUA")</f>
        <v>MUA</v>
      </c>
      <c r="G41" s="5" t="str">
        <f>IFERROR(__xludf.DUMMYFUNCTION("""COMPUTED_VALUE"""),"○出場")</f>
        <v>○出場</v>
      </c>
      <c r="H41" s="5">
        <f>IFERROR(__xludf.DUMMYFUNCTION("""COMPUTED_VALUE"""),530333.0)</f>
        <v>530333</v>
      </c>
      <c r="I41" s="5" t="str">
        <f>IFERROR(__xludf.DUMMYFUNCTION("""COMPUTED_VALUE"""),"○参加する")</f>
        <v>○参加する</v>
      </c>
      <c r="J41" s="5"/>
      <c r="K41" s="12">
        <f t="shared" si="2"/>
        <v>1</v>
      </c>
    </row>
    <row r="42" ht="19.5" customHeight="1">
      <c r="A42" s="5">
        <f>IFERROR(__xludf.DUMMYFUNCTION("""COMPUTED_VALUE"""),30506.0)</f>
        <v>30506</v>
      </c>
      <c r="B42" s="5" t="str">
        <f>IFERROR(__xludf.DUMMYFUNCTION("""COMPUTED_VALUE"""),"森下 遥")</f>
        <v>森下 遥</v>
      </c>
      <c r="C42" s="5" t="str">
        <f>IFERROR(__xludf.DUMMYFUNCTION("""COMPUTED_VALUE"""),"もりした はるか")</f>
        <v>もりした はるか</v>
      </c>
      <c r="D42" s="5">
        <f>IFERROR(__xludf.DUMMYFUNCTION("""COMPUTED_VALUE"""),4.0)</f>
        <v>4</v>
      </c>
      <c r="E42" s="5" t="str">
        <f>IFERROR(__xludf.DUMMYFUNCTION("""COMPUTED_VALUE"""),"女")</f>
        <v>女</v>
      </c>
      <c r="F42" s="5" t="str">
        <f>IFERROR(__xludf.DUMMYFUNCTION("""COMPUTED_VALUE"""),"WUA")</f>
        <v>WUA</v>
      </c>
      <c r="G42" s="5" t="str">
        <f>IFERROR(__xludf.DUMMYFUNCTION("""COMPUTED_VALUE"""),"○出場")</f>
        <v>○出場</v>
      </c>
      <c r="H42" s="5">
        <f>IFERROR(__xludf.DUMMYFUNCTION("""COMPUTED_VALUE"""),518936.0)</f>
        <v>518936</v>
      </c>
      <c r="I42" s="5" t="str">
        <f>IFERROR(__xludf.DUMMYFUNCTION("""COMPUTED_VALUE"""),"○参加する")</f>
        <v>○参加する</v>
      </c>
      <c r="J42" s="5"/>
      <c r="K42" s="12">
        <f t="shared" si="2"/>
        <v>1</v>
      </c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12">
        <f t="shared" si="2"/>
        <v>0</v>
      </c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12">
        <f t="shared" si="2"/>
        <v>0</v>
      </c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2">
        <f t="shared" si="2"/>
        <v>0</v>
      </c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2">
        <f t="shared" si="2"/>
        <v>0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622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45</v>
      </c>
      <c r="E4" s="7">
        <f t="shared" ref="E4:E8" si="1">C4*D4</f>
        <v>382500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4</v>
      </c>
      <c r="E5" s="7">
        <f t="shared" si="1"/>
        <v>32000</v>
      </c>
    </row>
    <row r="6" ht="19.5" customHeight="1">
      <c r="A6" s="2" t="s">
        <v>9</v>
      </c>
      <c r="B6" s="4"/>
      <c r="C6" s="7">
        <v>32700.0</v>
      </c>
      <c r="D6" s="5">
        <f>D4+D5</f>
        <v>49</v>
      </c>
      <c r="E6" s="7">
        <f t="shared" si="1"/>
        <v>1602300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2</v>
      </c>
      <c r="E7" s="7">
        <f t="shared" si="1"/>
        <v>9000</v>
      </c>
    </row>
    <row r="8" ht="19.5" customHeight="1">
      <c r="A8" s="2" t="s">
        <v>11</v>
      </c>
      <c r="B8" s="4"/>
      <c r="C8" s="7">
        <v>500.0</v>
      </c>
      <c r="D8" s="5">
        <f>D4-COUNT(H14:H201)</f>
        <v>23</v>
      </c>
      <c r="E8" s="7">
        <f t="shared" si="1"/>
        <v>11500</v>
      </c>
    </row>
    <row r="9" ht="19.5" customHeight="1">
      <c r="A9" s="9"/>
      <c r="B9" s="9"/>
      <c r="C9" s="9"/>
      <c r="D9" s="10" t="s">
        <v>5</v>
      </c>
      <c r="E9" s="11">
        <f>SUM(E4:E8)</f>
        <v>2037300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IFERROR(__xludf.DUMMYFUNCTION("FILTER('個人別エントリー'!C2:L1018,'個人別エントリー'!B2:B1018=A1)"),330702.0)</f>
        <v>330702</v>
      </c>
      <c r="B14" s="5" t="str">
        <f>IFERROR(__xludf.DUMMYFUNCTION("""COMPUTED_VALUE"""),"澤本 隆聖")</f>
        <v>澤本 隆聖</v>
      </c>
      <c r="C14" s="5" t="str">
        <f>IFERROR(__xludf.DUMMYFUNCTION("""COMPUTED_VALUE"""),"さわもと りゅうせい")</f>
        <v>さわもと りゅうせい</v>
      </c>
      <c r="D14" s="5">
        <f>IFERROR(__xludf.DUMMYFUNCTION("""COMPUTED_VALUE"""),1.0)</f>
        <v>1</v>
      </c>
      <c r="E14" s="5" t="str">
        <f>IFERROR(__xludf.DUMMYFUNCTION("""COMPUTED_VALUE"""),"男")</f>
        <v>男</v>
      </c>
      <c r="F14" s="5" t="str">
        <f>IFERROR(__xludf.DUMMYFUNCTION("""COMPUTED_VALUE"""),"MUF")</f>
        <v>MUF</v>
      </c>
      <c r="G14" s="5" t="str">
        <f>IFERROR(__xludf.DUMMYFUNCTION("""COMPUTED_VALUE"""),"○出場")</f>
        <v>○出場</v>
      </c>
      <c r="H14" s="5">
        <f>IFERROR(__xludf.DUMMYFUNCTION("""COMPUTED_VALUE"""),528130.0)</f>
        <v>528130</v>
      </c>
      <c r="I14" s="5" t="str">
        <f>IFERROR(__xludf.DUMMYFUNCTION("""COMPUTED_VALUE"""),"○参加する")</f>
        <v>○参加する</v>
      </c>
      <c r="J14" s="5"/>
      <c r="K14" s="12">
        <f t="shared" ref="K14:K201" si="2">IF(AND(OR(F14="×欠場",F14=""),OR(G14="×欠場",G14="")),0,1)</f>
        <v>1</v>
      </c>
      <c r="M14" s="5" t="str">
        <f>IFERROR(__xludf.DUMMYFUNCTION("FILTER('リレー内容'!$C$2:$K$51,'リレー内容'!$B$2:$B$51=A1)"),"○出場")</f>
        <v>○出場</v>
      </c>
      <c r="N14" s="5" t="str">
        <f>IFERROR(__xludf.DUMMYFUNCTION("""COMPUTED_VALUE"""),"○出場")</f>
        <v>○出場</v>
      </c>
      <c r="O14" s="5">
        <f>IFERROR(__xludf.DUMMYFUNCTION("""COMPUTED_VALUE"""),12.0)</f>
        <v>12</v>
      </c>
      <c r="P14" s="5">
        <f>IFERROR(__xludf.DUMMYFUNCTION("""COMPUTED_VALUE"""),2.0)</f>
        <v>2</v>
      </c>
      <c r="Q14" s="5">
        <f>IFERROR(__xludf.DUMMYFUNCTION("""COMPUTED_VALUE"""),0.0)</f>
        <v>0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IFERROR(__xludf.DUMMYFUNCTION("""COMPUTED_VALUE"""),330703.0)</f>
        <v>330703</v>
      </c>
      <c r="B15" s="5" t="str">
        <f>IFERROR(__xludf.DUMMYFUNCTION("""COMPUTED_VALUE"""),"鈴木 颯太")</f>
        <v>鈴木 颯太</v>
      </c>
      <c r="C15" s="5" t="str">
        <f>IFERROR(__xludf.DUMMYFUNCTION("""COMPUTED_VALUE"""),"すずき そうた")</f>
        <v>すずき そうた</v>
      </c>
      <c r="D15" s="5">
        <f>IFERROR(__xludf.DUMMYFUNCTION("""COMPUTED_VALUE"""),1.0)</f>
        <v>1</v>
      </c>
      <c r="E15" s="5" t="str">
        <f>IFERROR(__xludf.DUMMYFUNCTION("""COMPUTED_VALUE"""),"男")</f>
        <v>男</v>
      </c>
      <c r="F15" s="5" t="str">
        <f>IFERROR(__xludf.DUMMYFUNCTION("""COMPUTED_VALUE"""),"MUF")</f>
        <v>MUF</v>
      </c>
      <c r="G15" s="5" t="str">
        <f>IFERROR(__xludf.DUMMYFUNCTION("""COMPUTED_VALUE"""),"○出場")</f>
        <v>○出場</v>
      </c>
      <c r="H15" s="5">
        <f>IFERROR(__xludf.DUMMYFUNCTION("""COMPUTED_VALUE"""),519046.0)</f>
        <v>519046</v>
      </c>
      <c r="I15" s="5" t="str">
        <f>IFERROR(__xludf.DUMMYFUNCTION("""COMPUTED_VALUE"""),"○参加する")</f>
        <v>○参加する</v>
      </c>
      <c r="J15" s="5"/>
      <c r="K15" s="12">
        <f t="shared" si="2"/>
        <v>1</v>
      </c>
    </row>
    <row r="16" ht="19.5" customHeight="1">
      <c r="A16" s="5">
        <f>IFERROR(__xludf.DUMMYFUNCTION("""COMPUTED_VALUE"""),330704.0)</f>
        <v>330704</v>
      </c>
      <c r="B16" s="5" t="str">
        <f>IFERROR(__xludf.DUMMYFUNCTION("""COMPUTED_VALUE"""),"池内 歩")</f>
        <v>池内 歩</v>
      </c>
      <c r="C16" s="5" t="str">
        <f>IFERROR(__xludf.DUMMYFUNCTION("""COMPUTED_VALUE"""),"いけうち あゆむ")</f>
        <v>いけうち あゆむ</v>
      </c>
      <c r="D16" s="5">
        <f>IFERROR(__xludf.DUMMYFUNCTION("""COMPUTED_VALUE"""),1.0)</f>
        <v>1</v>
      </c>
      <c r="E16" s="5" t="str">
        <f>IFERROR(__xludf.DUMMYFUNCTION("""COMPUTED_VALUE"""),"男")</f>
        <v>男</v>
      </c>
      <c r="F16" s="5" t="str">
        <f>IFERROR(__xludf.DUMMYFUNCTION("""COMPUTED_VALUE"""),"×欠場")</f>
        <v>×欠場</v>
      </c>
      <c r="G16" s="5" t="str">
        <f>IFERROR(__xludf.DUMMYFUNCTION("""COMPUTED_VALUE"""),"×欠場")</f>
        <v>×欠場</v>
      </c>
      <c r="H16" s="5"/>
      <c r="I16" s="5" t="str">
        <f>IFERROR(__xludf.DUMMYFUNCTION("""COMPUTED_VALUE"""),"×参加しない")</f>
        <v>×参加しない</v>
      </c>
      <c r="J16" s="5"/>
      <c r="K16" s="12">
        <f t="shared" si="2"/>
        <v>0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>
        <f>IFERROR(__xludf.DUMMYFUNCTION("""COMPUTED_VALUE"""),330705.0)</f>
        <v>330705</v>
      </c>
      <c r="B17" s="5" t="str">
        <f>IFERROR(__xludf.DUMMYFUNCTION("""COMPUTED_VALUE"""),"梅園 雅史")</f>
        <v>梅園 雅史</v>
      </c>
      <c r="C17" s="5" t="str">
        <f>IFERROR(__xludf.DUMMYFUNCTION("""COMPUTED_VALUE"""),"うめぞの まさし")</f>
        <v>うめぞの まさし</v>
      </c>
      <c r="D17" s="5">
        <f>IFERROR(__xludf.DUMMYFUNCTION("""COMPUTED_VALUE"""),1.0)</f>
        <v>1</v>
      </c>
      <c r="E17" s="5" t="str">
        <f>IFERROR(__xludf.DUMMYFUNCTION("""COMPUTED_VALUE"""),"男")</f>
        <v>男</v>
      </c>
      <c r="F17" s="5" t="str">
        <f>IFERROR(__xludf.DUMMYFUNCTION("""COMPUTED_VALUE"""),"MUF")</f>
        <v>MUF</v>
      </c>
      <c r="G17" s="5" t="str">
        <f>IFERROR(__xludf.DUMMYFUNCTION("""COMPUTED_VALUE"""),"○出場")</f>
        <v>○出場</v>
      </c>
      <c r="H17" s="5">
        <f>IFERROR(__xludf.DUMMYFUNCTION("""COMPUTED_VALUE"""),519052.0)</f>
        <v>519052</v>
      </c>
      <c r="I17" s="5" t="str">
        <f>IFERROR(__xludf.DUMMYFUNCTION("""COMPUTED_VALUE"""),"○参加する")</f>
        <v>○参加する</v>
      </c>
      <c r="J17" s="5"/>
      <c r="K17" s="12">
        <f t="shared" si="2"/>
        <v>1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>
        <f>IFERROR(__xludf.DUMMYFUNCTION("""COMPUTED_VALUE"""),330706.0)</f>
        <v>330706</v>
      </c>
      <c r="B18" s="5" t="str">
        <f>IFERROR(__xludf.DUMMYFUNCTION("""COMPUTED_VALUE"""),"梅本 結")</f>
        <v>梅本 結</v>
      </c>
      <c r="C18" s="5" t="str">
        <f>IFERROR(__xludf.DUMMYFUNCTION("""COMPUTED_VALUE"""),"うめもと ゆい")</f>
        <v>うめもと ゆい</v>
      </c>
      <c r="D18" s="5">
        <f>IFERROR(__xludf.DUMMYFUNCTION("""COMPUTED_VALUE"""),1.0)</f>
        <v>1</v>
      </c>
      <c r="E18" s="5" t="str">
        <f>IFERROR(__xludf.DUMMYFUNCTION("""COMPUTED_VALUE"""),"女")</f>
        <v>女</v>
      </c>
      <c r="F18" s="5" t="str">
        <f>IFERROR(__xludf.DUMMYFUNCTION("""COMPUTED_VALUE"""),"WUF")</f>
        <v>WUF</v>
      </c>
      <c r="G18" s="5" t="str">
        <f>IFERROR(__xludf.DUMMYFUNCTION("""COMPUTED_VALUE"""),"○出場")</f>
        <v>○出場</v>
      </c>
      <c r="H18" s="5">
        <f>IFERROR(__xludf.DUMMYFUNCTION("""COMPUTED_VALUE"""),519053.0)</f>
        <v>519053</v>
      </c>
      <c r="I18" s="5" t="str">
        <f>IFERROR(__xludf.DUMMYFUNCTION("""COMPUTED_VALUE"""),"○参加する")</f>
        <v>○参加する</v>
      </c>
      <c r="J18" s="5"/>
      <c r="K18" s="12">
        <f t="shared" si="2"/>
        <v>1</v>
      </c>
      <c r="M18" s="5" t="s">
        <v>27</v>
      </c>
      <c r="N18" s="2" t="s">
        <v>622</v>
      </c>
      <c r="O18" s="4"/>
      <c r="P18" s="2" t="s">
        <v>2325</v>
      </c>
      <c r="Q18" s="3"/>
      <c r="R18" s="3"/>
      <c r="S18" s="3"/>
      <c r="T18" s="3"/>
      <c r="U18" s="4"/>
    </row>
    <row r="19" ht="19.5" customHeight="1">
      <c r="A19" s="5">
        <f>IFERROR(__xludf.DUMMYFUNCTION("""COMPUTED_VALUE"""),330707.0)</f>
        <v>330707</v>
      </c>
      <c r="B19" s="5" t="str">
        <f>IFERROR(__xludf.DUMMYFUNCTION("""COMPUTED_VALUE"""),"小川 奈菜")</f>
        <v>小川 奈菜</v>
      </c>
      <c r="C19" s="5" t="str">
        <f>IFERROR(__xludf.DUMMYFUNCTION("""COMPUTED_VALUE"""),"おがわ なな")</f>
        <v>おがわ なな</v>
      </c>
      <c r="D19" s="5">
        <f>IFERROR(__xludf.DUMMYFUNCTION("""COMPUTED_VALUE"""),1.0)</f>
        <v>1</v>
      </c>
      <c r="E19" s="5" t="str">
        <f>IFERROR(__xludf.DUMMYFUNCTION("""COMPUTED_VALUE"""),"女")</f>
        <v>女</v>
      </c>
      <c r="F19" s="5" t="str">
        <f>IFERROR(__xludf.DUMMYFUNCTION("""COMPUTED_VALUE"""),"WUF")</f>
        <v>WUF</v>
      </c>
      <c r="G19" s="5" t="str">
        <f>IFERROR(__xludf.DUMMYFUNCTION("""COMPUTED_VALUE"""),"○出場")</f>
        <v>○出場</v>
      </c>
      <c r="H19" s="5">
        <f>IFERROR(__xludf.DUMMYFUNCTION("""COMPUTED_VALUE"""),519054.0)</f>
        <v>519054</v>
      </c>
      <c r="I19" s="5" t="str">
        <f>IFERROR(__xludf.DUMMYFUNCTION("""COMPUTED_VALUE"""),"○参加する")</f>
        <v>○参加する</v>
      </c>
      <c r="J19" s="5"/>
      <c r="K19" s="12">
        <f t="shared" si="2"/>
        <v>1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>
        <f>IFERROR(__xludf.DUMMYFUNCTION("""COMPUTED_VALUE"""),330708.0)</f>
        <v>330708</v>
      </c>
      <c r="B20" s="5" t="str">
        <f>IFERROR(__xludf.DUMMYFUNCTION("""COMPUTED_VALUE"""),"小野塚 智美")</f>
        <v>小野塚 智美</v>
      </c>
      <c r="C20" s="5" t="str">
        <f>IFERROR(__xludf.DUMMYFUNCTION("""COMPUTED_VALUE"""),"おのづか ともみ")</f>
        <v>おのづか ともみ</v>
      </c>
      <c r="D20" s="5">
        <f>IFERROR(__xludf.DUMMYFUNCTION("""COMPUTED_VALUE"""),1.0)</f>
        <v>1</v>
      </c>
      <c r="E20" s="5" t="str">
        <f>IFERROR(__xludf.DUMMYFUNCTION("""COMPUTED_VALUE"""),"女")</f>
        <v>女</v>
      </c>
      <c r="F20" s="5" t="str">
        <f>IFERROR(__xludf.DUMMYFUNCTION("""COMPUTED_VALUE"""),"WUF")</f>
        <v>WUF</v>
      </c>
      <c r="G20" s="5" t="str">
        <f>IFERROR(__xludf.DUMMYFUNCTION("""COMPUTED_VALUE"""),"○出場")</f>
        <v>○出場</v>
      </c>
      <c r="H20" s="5"/>
      <c r="I20" s="5" t="str">
        <f>IFERROR(__xludf.DUMMYFUNCTION("""COMPUTED_VALUE"""),"○参加する")</f>
        <v>○参加する</v>
      </c>
      <c r="J20" s="5"/>
      <c r="K20" s="12">
        <f t="shared" si="2"/>
        <v>1</v>
      </c>
    </row>
    <row r="21" ht="19.5" customHeight="1">
      <c r="A21" s="5">
        <f>IFERROR(__xludf.DUMMYFUNCTION("""COMPUTED_VALUE"""),330709.0)</f>
        <v>330709</v>
      </c>
      <c r="B21" s="5" t="str">
        <f>IFERROR(__xludf.DUMMYFUNCTION("""COMPUTED_VALUE"""),"加藤 賢斗")</f>
        <v>加藤 賢斗</v>
      </c>
      <c r="C21" s="5" t="str">
        <f>IFERROR(__xludf.DUMMYFUNCTION("""COMPUTED_VALUE"""),"かとう けんと")</f>
        <v>かとう けんと</v>
      </c>
      <c r="D21" s="5">
        <f>IFERROR(__xludf.DUMMYFUNCTION("""COMPUTED_VALUE"""),1.0)</f>
        <v>1</v>
      </c>
      <c r="E21" s="5" t="str">
        <f>IFERROR(__xludf.DUMMYFUNCTION("""COMPUTED_VALUE"""),"男")</f>
        <v>男</v>
      </c>
      <c r="F21" s="5" t="str">
        <f>IFERROR(__xludf.DUMMYFUNCTION("""COMPUTED_VALUE"""),"MUF")</f>
        <v>MUF</v>
      </c>
      <c r="G21" s="5" t="str">
        <f>IFERROR(__xludf.DUMMYFUNCTION("""COMPUTED_VALUE"""),"○出場")</f>
        <v>○出場</v>
      </c>
      <c r="H21" s="5"/>
      <c r="I21" s="5" t="str">
        <f>IFERROR(__xludf.DUMMYFUNCTION("""COMPUTED_VALUE"""),"○参加する")</f>
        <v>○参加する</v>
      </c>
      <c r="J21" s="5"/>
      <c r="K21" s="12">
        <f t="shared" si="2"/>
        <v>1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>
        <f>IFERROR(__xludf.DUMMYFUNCTION("""COMPUTED_VALUE"""),330710.0)</f>
        <v>330710</v>
      </c>
      <c r="B22" s="5" t="str">
        <f>IFERROR(__xludf.DUMMYFUNCTION("""COMPUTED_VALUE"""),"川勝 健太")</f>
        <v>川勝 健太</v>
      </c>
      <c r="C22" s="5" t="str">
        <f>IFERROR(__xludf.DUMMYFUNCTION("""COMPUTED_VALUE"""),"かわかつ けんた")</f>
        <v>かわかつ けんた</v>
      </c>
      <c r="D22" s="5">
        <f>IFERROR(__xludf.DUMMYFUNCTION("""COMPUTED_VALUE"""),1.0)</f>
        <v>1</v>
      </c>
      <c r="E22" s="5" t="str">
        <f>IFERROR(__xludf.DUMMYFUNCTION("""COMPUTED_VALUE"""),"男")</f>
        <v>男</v>
      </c>
      <c r="F22" s="5" t="str">
        <f>IFERROR(__xludf.DUMMYFUNCTION("""COMPUTED_VALUE"""),"×欠場")</f>
        <v>×欠場</v>
      </c>
      <c r="G22" s="5" t="str">
        <f>IFERROR(__xludf.DUMMYFUNCTION("""COMPUTED_VALUE"""),"×欠場")</f>
        <v>×欠場</v>
      </c>
      <c r="H22" s="5"/>
      <c r="I22" s="5" t="str">
        <f>IFERROR(__xludf.DUMMYFUNCTION("""COMPUTED_VALUE"""),"×参加しない")</f>
        <v>×参加しない</v>
      </c>
      <c r="J22" s="5"/>
      <c r="K22" s="12">
        <f t="shared" si="2"/>
        <v>0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>
        <f>IFERROR(__xludf.DUMMYFUNCTION("""COMPUTED_VALUE"""),330711.0)</f>
        <v>330711</v>
      </c>
      <c r="B23" s="5" t="str">
        <f>IFERROR(__xludf.DUMMYFUNCTION("""COMPUTED_VALUE"""),"斉藤 大己")</f>
        <v>斉藤 大己</v>
      </c>
      <c r="C23" s="5" t="str">
        <f>IFERROR(__xludf.DUMMYFUNCTION("""COMPUTED_VALUE"""),"さいとう たいき")</f>
        <v>さいとう たいき</v>
      </c>
      <c r="D23" s="5">
        <f>IFERROR(__xludf.DUMMYFUNCTION("""COMPUTED_VALUE"""),1.0)</f>
        <v>1</v>
      </c>
      <c r="E23" s="5" t="str">
        <f>IFERROR(__xludf.DUMMYFUNCTION("""COMPUTED_VALUE"""),"男")</f>
        <v>男</v>
      </c>
      <c r="F23" s="5" t="str">
        <f>IFERROR(__xludf.DUMMYFUNCTION("""COMPUTED_VALUE"""),"MUF")</f>
        <v>MUF</v>
      </c>
      <c r="G23" s="5" t="str">
        <f>IFERROR(__xludf.DUMMYFUNCTION("""COMPUTED_VALUE"""),"○出場")</f>
        <v>○出場</v>
      </c>
      <c r="H23" s="5">
        <f>IFERROR(__xludf.DUMMYFUNCTION("""COMPUTED_VALUE"""),519055.0)</f>
        <v>519055</v>
      </c>
      <c r="I23" s="5" t="str">
        <f>IFERROR(__xludf.DUMMYFUNCTION("""COMPUTED_VALUE"""),"○参加する")</f>
        <v>○参加する</v>
      </c>
      <c r="J23" s="5"/>
      <c r="K23" s="12">
        <f t="shared" si="2"/>
        <v>1</v>
      </c>
      <c r="M23" s="2" t="str">
        <f>IFERROR(__xludf.DUMMYFUNCTION("FILTER('オフィシャル'!$B$2:$B$65,'オフィシャル'!$A$2:$A$65=A1)"),"永山　遼真")</f>
        <v>永山　遼真</v>
      </c>
      <c r="N23" s="4"/>
      <c r="O23" s="2" t="str">
        <f>IFERROR(__xludf.DUMMYFUNCTION("FILTER('オフィシャル'!$C$2:$C$65,'オフィシャル'!$A$2:$A$65=A1)"),"ながやま　りょうま")</f>
        <v>ながやま　りょうま</v>
      </c>
      <c r="P23" s="3"/>
      <c r="Q23" s="5" t="str">
        <f>IFERROR(__xludf.DUMMYFUNCTION("FILTER('オフィシャル'!$D$2:$D$65,'オフィシャル'!$A$2:$A$65=A1)"),"男")</f>
        <v>男</v>
      </c>
      <c r="R23" s="2" t="str">
        <f>IFERROR(__xludf.DUMMYFUNCTION("FILTER('オフィシャル'!$E$2:$E$65,'オフィシャル'!$A$2:$A$65=A1)"),"○する")</f>
        <v>○する</v>
      </c>
      <c r="S23" s="4"/>
      <c r="T23" s="14" t="str">
        <f>IFERROR(__xludf.DUMMYFUNCTION("FILTER('オフィシャル'!$F$2:$F$65,'オフィシャル'!$A$2:$A$65=A1)"),"")</f>
        <v/>
      </c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>
        <f>IFERROR(__xludf.DUMMYFUNCTION("""COMPUTED_VALUE"""),330712.0)</f>
        <v>330712</v>
      </c>
      <c r="B24" s="5" t="str">
        <f>IFERROR(__xludf.DUMMYFUNCTION("""COMPUTED_VALUE"""),"佐々木 大良")</f>
        <v>佐々木 大良</v>
      </c>
      <c r="C24" s="5" t="str">
        <f>IFERROR(__xludf.DUMMYFUNCTION("""COMPUTED_VALUE"""),"ささき たいら")</f>
        <v>ささき たいら</v>
      </c>
      <c r="D24" s="5">
        <f>IFERROR(__xludf.DUMMYFUNCTION("""COMPUTED_VALUE"""),1.0)</f>
        <v>1</v>
      </c>
      <c r="E24" s="5" t="str">
        <f>IFERROR(__xludf.DUMMYFUNCTION("""COMPUTED_VALUE"""),"男")</f>
        <v>男</v>
      </c>
      <c r="F24" s="5" t="str">
        <f>IFERROR(__xludf.DUMMYFUNCTION("""COMPUTED_VALUE"""),"MUF")</f>
        <v>MUF</v>
      </c>
      <c r="G24" s="5" t="str">
        <f>IFERROR(__xludf.DUMMYFUNCTION("""COMPUTED_VALUE"""),"○出場")</f>
        <v>○出場</v>
      </c>
      <c r="H24" s="5">
        <f>IFERROR(__xludf.DUMMYFUNCTION("""COMPUTED_VALUE"""),524628.0)</f>
        <v>524628</v>
      </c>
      <c r="I24" s="5" t="str">
        <f>IFERROR(__xludf.DUMMYFUNCTION("""COMPUTED_VALUE"""),"○参加する")</f>
        <v>○参加する</v>
      </c>
      <c r="J24" s="5"/>
      <c r="K24" s="12">
        <f t="shared" si="2"/>
        <v>1</v>
      </c>
      <c r="M24" s="2" t="str">
        <f>IFERROR(__xludf.DUMMYFUNCTION("""COMPUTED_VALUE"""),"佐藤　隆菜")</f>
        <v>佐藤　隆菜</v>
      </c>
      <c r="N24" s="4"/>
      <c r="O24" s="2" t="str">
        <f>IFERROR(__xludf.DUMMYFUNCTION("""COMPUTED_VALUE"""),"さとう　たかな")</f>
        <v>さとう　たかな</v>
      </c>
      <c r="P24" s="3"/>
      <c r="Q24" s="5" t="str">
        <f>IFERROR(__xludf.DUMMYFUNCTION("""COMPUTED_VALUE"""),"女")</f>
        <v>女</v>
      </c>
      <c r="R24" s="2" t="str">
        <f>IFERROR(__xludf.DUMMYFUNCTION("""COMPUTED_VALUE"""),"○する")</f>
        <v>○する</v>
      </c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>
        <f>IFERROR(__xludf.DUMMYFUNCTION("""COMPUTED_VALUE"""),330713.0)</f>
        <v>330713</v>
      </c>
      <c r="B25" s="5" t="str">
        <f>IFERROR(__xludf.DUMMYFUNCTION("""COMPUTED_VALUE"""),"島倉 大門")</f>
        <v>島倉 大門</v>
      </c>
      <c r="C25" s="5" t="str">
        <f>IFERROR(__xludf.DUMMYFUNCTION("""COMPUTED_VALUE"""),"しまくら だいもん")</f>
        <v>しまくら だいもん</v>
      </c>
      <c r="D25" s="5">
        <f>IFERROR(__xludf.DUMMYFUNCTION("""COMPUTED_VALUE"""),1.0)</f>
        <v>1</v>
      </c>
      <c r="E25" s="5" t="str">
        <f>IFERROR(__xludf.DUMMYFUNCTION("""COMPUTED_VALUE"""),"男")</f>
        <v>男</v>
      </c>
      <c r="F25" s="5" t="str">
        <f>IFERROR(__xludf.DUMMYFUNCTION("""COMPUTED_VALUE"""),"MUF")</f>
        <v>MUF</v>
      </c>
      <c r="G25" s="5" t="str">
        <f>IFERROR(__xludf.DUMMYFUNCTION("""COMPUTED_VALUE"""),"○出場")</f>
        <v>○出場</v>
      </c>
      <c r="H25" s="5">
        <f>IFERROR(__xludf.DUMMYFUNCTION("""COMPUTED_VALUE"""),524629.0)</f>
        <v>524629</v>
      </c>
      <c r="I25" s="5" t="str">
        <f>IFERROR(__xludf.DUMMYFUNCTION("""COMPUTED_VALUE"""),"○参加する")</f>
        <v>○参加する</v>
      </c>
      <c r="J25" s="5"/>
      <c r="K25" s="12">
        <f t="shared" si="2"/>
        <v>1</v>
      </c>
      <c r="M25" s="2" t="str">
        <f>IFERROR(__xludf.DUMMYFUNCTION("""COMPUTED_VALUE"""),"菅波　崇志")</f>
        <v>菅波　崇志</v>
      </c>
      <c r="N25" s="4"/>
      <c r="O25" s="2" t="str">
        <f>IFERROR(__xludf.DUMMYFUNCTION("""COMPUTED_VALUE"""),"すがなみ　たかし")</f>
        <v>すがなみ　たかし</v>
      </c>
      <c r="P25" s="3"/>
      <c r="Q25" s="19" t="str">
        <f>IFERROR(__xludf.DUMMYFUNCTION("""COMPUTED_VALUE"""),"男")</f>
        <v>男</v>
      </c>
      <c r="R25" s="2" t="str">
        <f>IFERROR(__xludf.DUMMYFUNCTION("""COMPUTED_VALUE"""),"○する")</f>
        <v>○する</v>
      </c>
      <c r="S25" s="4"/>
      <c r="T25" s="20"/>
      <c r="U25" s="15"/>
    </row>
    <row r="26" ht="19.5" customHeight="1">
      <c r="A26" s="5">
        <f>IFERROR(__xludf.DUMMYFUNCTION("""COMPUTED_VALUE"""),330714.0)</f>
        <v>330714</v>
      </c>
      <c r="B26" s="5" t="str">
        <f>IFERROR(__xludf.DUMMYFUNCTION("""COMPUTED_VALUE"""),"鈴木 史麿")</f>
        <v>鈴木 史麿</v>
      </c>
      <c r="C26" s="5" t="str">
        <f>IFERROR(__xludf.DUMMYFUNCTION("""COMPUTED_VALUE"""),"すずき ふみまろ")</f>
        <v>すずき ふみまろ</v>
      </c>
      <c r="D26" s="5">
        <f>IFERROR(__xludf.DUMMYFUNCTION("""COMPUTED_VALUE"""),1.0)</f>
        <v>1</v>
      </c>
      <c r="E26" s="5" t="str">
        <f>IFERROR(__xludf.DUMMYFUNCTION("""COMPUTED_VALUE"""),"男")</f>
        <v>男</v>
      </c>
      <c r="F26" s="5" t="str">
        <f>IFERROR(__xludf.DUMMYFUNCTION("""COMPUTED_VALUE"""),"MUF")</f>
        <v>MUF</v>
      </c>
      <c r="G26" s="5" t="str">
        <f>IFERROR(__xludf.DUMMYFUNCTION("""COMPUTED_VALUE"""),"○出場")</f>
        <v>○出場</v>
      </c>
      <c r="H26" s="5">
        <f>IFERROR(__xludf.DUMMYFUNCTION("""COMPUTED_VALUE"""),524630.0)</f>
        <v>524630</v>
      </c>
      <c r="I26" s="5" t="str">
        <f>IFERROR(__xludf.DUMMYFUNCTION("""COMPUTED_VALUE"""),"○参加する")</f>
        <v>○参加する</v>
      </c>
      <c r="J26" s="5"/>
      <c r="K26" s="12">
        <f t="shared" si="2"/>
        <v>1</v>
      </c>
      <c r="M26" s="2" t="str">
        <f>IFERROR(__xludf.DUMMYFUNCTION("""COMPUTED_VALUE"""),"宮本　和奏")</f>
        <v>宮本　和奏</v>
      </c>
      <c r="N26" s="4"/>
      <c r="O26" s="2" t="str">
        <f>IFERROR(__xludf.DUMMYFUNCTION("""COMPUTED_VALUE"""),"みやもと　わかな")</f>
        <v>みやもと　わかな</v>
      </c>
      <c r="P26" s="3"/>
      <c r="Q26" s="19" t="str">
        <f>IFERROR(__xludf.DUMMYFUNCTION("""COMPUTED_VALUE"""),"女")</f>
        <v>女</v>
      </c>
      <c r="R26" s="2" t="str">
        <f>IFERROR(__xludf.DUMMYFUNCTION("""COMPUTED_VALUE"""),"○する")</f>
        <v>○する</v>
      </c>
      <c r="S26" s="4"/>
      <c r="T26" s="20"/>
      <c r="U26" s="15"/>
    </row>
    <row r="27" ht="19.5" customHeight="1">
      <c r="A27" s="5">
        <f>IFERROR(__xludf.DUMMYFUNCTION("""COMPUTED_VALUE"""),330715.0)</f>
        <v>330715</v>
      </c>
      <c r="B27" s="5" t="str">
        <f>IFERROR(__xludf.DUMMYFUNCTION("""COMPUTED_VALUE"""),"徳地 一真")</f>
        <v>徳地 一真</v>
      </c>
      <c r="C27" s="5" t="str">
        <f>IFERROR(__xludf.DUMMYFUNCTION("""COMPUTED_VALUE"""),"とくち かずま")</f>
        <v>とくち かずま</v>
      </c>
      <c r="D27" s="5">
        <f>IFERROR(__xludf.DUMMYFUNCTION("""COMPUTED_VALUE"""),1.0)</f>
        <v>1</v>
      </c>
      <c r="E27" s="5" t="str">
        <f>IFERROR(__xludf.DUMMYFUNCTION("""COMPUTED_VALUE"""),"男")</f>
        <v>男</v>
      </c>
      <c r="F27" s="5" t="str">
        <f>IFERROR(__xludf.DUMMYFUNCTION("""COMPUTED_VALUE"""),"MUF")</f>
        <v>MUF</v>
      </c>
      <c r="G27" s="5" t="str">
        <f>IFERROR(__xludf.DUMMYFUNCTION("""COMPUTED_VALUE"""),"○出場")</f>
        <v>○出場</v>
      </c>
      <c r="H27" s="5">
        <f>IFERROR(__xludf.DUMMYFUNCTION("""COMPUTED_VALUE"""),524631.0)</f>
        <v>524631</v>
      </c>
      <c r="I27" s="5" t="str">
        <f>IFERROR(__xludf.DUMMYFUNCTION("""COMPUTED_VALUE"""),"○参加する")</f>
        <v>○参加する</v>
      </c>
      <c r="J27" s="5"/>
      <c r="K27" s="12">
        <f t="shared" si="2"/>
        <v>1</v>
      </c>
    </row>
    <row r="28" ht="19.5" customHeight="1">
      <c r="A28" s="5">
        <f>IFERROR(__xludf.DUMMYFUNCTION("""COMPUTED_VALUE"""),330716.0)</f>
        <v>330716</v>
      </c>
      <c r="B28" s="5" t="str">
        <f>IFERROR(__xludf.DUMMYFUNCTION("""COMPUTED_VALUE"""),"萩谷 良介")</f>
        <v>萩谷 良介</v>
      </c>
      <c r="C28" s="5" t="str">
        <f>IFERROR(__xludf.DUMMYFUNCTION("""COMPUTED_VALUE"""),"はぎや りょうすけ")</f>
        <v>はぎや りょうすけ</v>
      </c>
      <c r="D28" s="5">
        <f>IFERROR(__xludf.DUMMYFUNCTION("""COMPUTED_VALUE"""),1.0)</f>
        <v>1</v>
      </c>
      <c r="E28" s="5" t="str">
        <f>IFERROR(__xludf.DUMMYFUNCTION("""COMPUTED_VALUE"""),"男")</f>
        <v>男</v>
      </c>
      <c r="F28" s="5" t="str">
        <f>IFERROR(__xludf.DUMMYFUNCTION("""COMPUTED_VALUE"""),"×欠場")</f>
        <v>×欠場</v>
      </c>
      <c r="G28" s="5" t="str">
        <f>IFERROR(__xludf.DUMMYFUNCTION("""COMPUTED_VALUE"""),"×欠場")</f>
        <v>×欠場</v>
      </c>
      <c r="H28" s="5"/>
      <c r="I28" s="5" t="str">
        <f>IFERROR(__xludf.DUMMYFUNCTION("""COMPUTED_VALUE"""),"×参加しない")</f>
        <v>×参加しない</v>
      </c>
      <c r="J28" s="5"/>
      <c r="K28" s="12">
        <f t="shared" si="2"/>
        <v>0</v>
      </c>
    </row>
    <row r="29" ht="19.5" customHeight="1">
      <c r="A29" s="5">
        <f>IFERROR(__xludf.DUMMYFUNCTION("""COMPUTED_VALUE"""),330717.0)</f>
        <v>330717</v>
      </c>
      <c r="B29" s="5" t="str">
        <f>IFERROR(__xludf.DUMMYFUNCTION("""COMPUTED_VALUE"""),"原 悠太")</f>
        <v>原 悠太</v>
      </c>
      <c r="C29" s="5" t="str">
        <f>IFERROR(__xludf.DUMMYFUNCTION("""COMPUTED_VALUE"""),"はら ゆうた")</f>
        <v>はら ゆうた</v>
      </c>
      <c r="D29" s="5">
        <f>IFERROR(__xludf.DUMMYFUNCTION("""COMPUTED_VALUE"""),1.0)</f>
        <v>1</v>
      </c>
      <c r="E29" s="5" t="str">
        <f>IFERROR(__xludf.DUMMYFUNCTION("""COMPUTED_VALUE"""),"男")</f>
        <v>男</v>
      </c>
      <c r="F29" s="5" t="str">
        <f>IFERROR(__xludf.DUMMYFUNCTION("""COMPUTED_VALUE"""),"×欠場")</f>
        <v>×欠場</v>
      </c>
      <c r="G29" s="5" t="str">
        <f>IFERROR(__xludf.DUMMYFUNCTION("""COMPUTED_VALUE"""),"×欠場")</f>
        <v>×欠場</v>
      </c>
      <c r="H29" s="5"/>
      <c r="I29" s="5" t="str">
        <f>IFERROR(__xludf.DUMMYFUNCTION("""COMPUTED_VALUE"""),"×参加しない")</f>
        <v>×参加しない</v>
      </c>
      <c r="J29" s="5"/>
      <c r="K29" s="12">
        <f t="shared" si="2"/>
        <v>0</v>
      </c>
    </row>
    <row r="30" ht="19.5" customHeight="1">
      <c r="A30" s="5">
        <f>IFERROR(__xludf.DUMMYFUNCTION("""COMPUTED_VALUE"""),330718.0)</f>
        <v>330718</v>
      </c>
      <c r="B30" s="5" t="str">
        <f>IFERROR(__xludf.DUMMYFUNCTION("""COMPUTED_VALUE"""),"美濃部 遼")</f>
        <v>美濃部 遼</v>
      </c>
      <c r="C30" s="5" t="str">
        <f>IFERROR(__xludf.DUMMYFUNCTION("""COMPUTED_VALUE"""),"みのべ りょう")</f>
        <v>みのべ りょう</v>
      </c>
      <c r="D30" s="5">
        <f>IFERROR(__xludf.DUMMYFUNCTION("""COMPUTED_VALUE"""),1.0)</f>
        <v>1</v>
      </c>
      <c r="E30" s="5" t="str">
        <f>IFERROR(__xludf.DUMMYFUNCTION("""COMPUTED_VALUE"""),"男")</f>
        <v>男</v>
      </c>
      <c r="F30" s="5" t="str">
        <f>IFERROR(__xludf.DUMMYFUNCTION("""COMPUTED_VALUE"""),"MUF")</f>
        <v>MUF</v>
      </c>
      <c r="G30" s="5" t="str">
        <f>IFERROR(__xludf.DUMMYFUNCTION("""COMPUTED_VALUE"""),"○出場")</f>
        <v>○出場</v>
      </c>
      <c r="H30" s="5">
        <f>IFERROR(__xludf.DUMMYFUNCTION("""COMPUTED_VALUE"""),524632.0)</f>
        <v>524632</v>
      </c>
      <c r="I30" s="5" t="str">
        <f>IFERROR(__xludf.DUMMYFUNCTION("""COMPUTED_VALUE"""),"○参加する")</f>
        <v>○参加する</v>
      </c>
      <c r="J30" s="5"/>
      <c r="K30" s="12">
        <f t="shared" si="2"/>
        <v>1</v>
      </c>
    </row>
    <row r="31" ht="19.5" customHeight="1">
      <c r="A31" s="5">
        <f>IFERROR(__xludf.DUMMYFUNCTION("""COMPUTED_VALUE"""),330719.0)</f>
        <v>330719</v>
      </c>
      <c r="B31" s="5" t="str">
        <f>IFERROR(__xludf.DUMMYFUNCTION("""COMPUTED_VALUE"""),"若林 渉")</f>
        <v>若林 渉</v>
      </c>
      <c r="C31" s="5" t="str">
        <f>IFERROR(__xludf.DUMMYFUNCTION("""COMPUTED_VALUE"""),"わかばやし わたる")</f>
        <v>わかばやし わたる</v>
      </c>
      <c r="D31" s="5">
        <f>IFERROR(__xludf.DUMMYFUNCTION("""COMPUTED_VALUE"""),1.0)</f>
        <v>1</v>
      </c>
      <c r="E31" s="5" t="str">
        <f>IFERROR(__xludf.DUMMYFUNCTION("""COMPUTED_VALUE"""),"男")</f>
        <v>男</v>
      </c>
      <c r="F31" s="5" t="str">
        <f>IFERROR(__xludf.DUMMYFUNCTION("""COMPUTED_VALUE"""),"×欠場")</f>
        <v>×欠場</v>
      </c>
      <c r="G31" s="5" t="str">
        <f>IFERROR(__xludf.DUMMYFUNCTION("""COMPUTED_VALUE"""),"×欠場")</f>
        <v>×欠場</v>
      </c>
      <c r="H31" s="5"/>
      <c r="I31" s="5" t="str">
        <f>IFERROR(__xludf.DUMMYFUNCTION("""COMPUTED_VALUE"""),"×参加しない")</f>
        <v>×参加しない</v>
      </c>
      <c r="J31" s="5"/>
      <c r="K31" s="12">
        <f t="shared" si="2"/>
        <v>0</v>
      </c>
    </row>
    <row r="32" ht="19.5" customHeight="1">
      <c r="A32" s="5">
        <f>IFERROR(__xludf.DUMMYFUNCTION("""COMPUTED_VALUE"""),330720.0)</f>
        <v>330720</v>
      </c>
      <c r="B32" s="5" t="str">
        <f>IFERROR(__xludf.DUMMYFUNCTION("""COMPUTED_VALUE"""),"浦川沙耶佳")</f>
        <v>浦川沙耶佳</v>
      </c>
      <c r="C32" s="5" t="str">
        <f>IFERROR(__xludf.DUMMYFUNCTION("""COMPUTED_VALUE"""),"うらかわ さやか")</f>
        <v>うらかわ さやか</v>
      </c>
      <c r="D32" s="5">
        <f>IFERROR(__xludf.DUMMYFUNCTION("""COMPUTED_VALUE"""),1.0)</f>
        <v>1</v>
      </c>
      <c r="E32" s="5" t="str">
        <f>IFERROR(__xludf.DUMMYFUNCTION("""COMPUTED_VALUE"""),"女")</f>
        <v>女</v>
      </c>
      <c r="F32" s="5" t="str">
        <f>IFERROR(__xludf.DUMMYFUNCTION("""COMPUTED_VALUE"""),"×欠場")</f>
        <v>×欠場</v>
      </c>
      <c r="G32" s="5" t="str">
        <f>IFERROR(__xludf.DUMMYFUNCTION("""COMPUTED_VALUE"""),"○出場")</f>
        <v>○出場</v>
      </c>
      <c r="H32" s="5"/>
      <c r="I32" s="5" t="str">
        <f>IFERROR(__xludf.DUMMYFUNCTION("""COMPUTED_VALUE"""),"×参加しない")</f>
        <v>×参加しない</v>
      </c>
      <c r="J32" s="50">
        <f>IFERROR(__xludf.DUMMYFUNCTION("""COMPUTED_VALUE"""),45366.0)</f>
        <v>45366</v>
      </c>
      <c r="K32" s="12">
        <f t="shared" si="2"/>
        <v>1</v>
      </c>
    </row>
    <row r="33" ht="19.5" customHeight="1">
      <c r="A33" s="5">
        <f>IFERROR(__xludf.DUMMYFUNCTION("""COMPUTED_VALUE"""),330721.0)</f>
        <v>330721</v>
      </c>
      <c r="B33" s="5" t="str">
        <f>IFERROR(__xludf.DUMMYFUNCTION("""COMPUTED_VALUE"""),"小島菜月")</f>
        <v>小島菜月</v>
      </c>
      <c r="C33" s="5" t="str">
        <f>IFERROR(__xludf.DUMMYFUNCTION("""COMPUTED_VALUE"""),"こじま なつき")</f>
        <v>こじま なつき</v>
      </c>
      <c r="D33" s="5">
        <f>IFERROR(__xludf.DUMMYFUNCTION("""COMPUTED_VALUE"""),1.0)</f>
        <v>1</v>
      </c>
      <c r="E33" s="5" t="str">
        <f>IFERROR(__xludf.DUMMYFUNCTION("""COMPUTED_VALUE"""),"女")</f>
        <v>女</v>
      </c>
      <c r="F33" s="5" t="str">
        <f>IFERROR(__xludf.DUMMYFUNCTION("""COMPUTED_VALUE"""),"×欠場")</f>
        <v>×欠場</v>
      </c>
      <c r="G33" s="5" t="str">
        <f>IFERROR(__xludf.DUMMYFUNCTION("""COMPUTED_VALUE"""),"×欠場")</f>
        <v>×欠場</v>
      </c>
      <c r="H33" s="5"/>
      <c r="I33" s="5" t="str">
        <f>IFERROR(__xludf.DUMMYFUNCTION("""COMPUTED_VALUE"""),"×参加しない")</f>
        <v>×参加しない</v>
      </c>
      <c r="J33" s="5"/>
      <c r="K33" s="12">
        <f t="shared" si="2"/>
        <v>0</v>
      </c>
    </row>
    <row r="34" ht="19.5" customHeight="1">
      <c r="A34" s="5">
        <f>IFERROR(__xludf.DUMMYFUNCTION("""COMPUTED_VALUE"""),330722.0)</f>
        <v>330722</v>
      </c>
      <c r="B34" s="5" t="str">
        <f>IFERROR(__xludf.DUMMYFUNCTION("""COMPUTED_VALUE"""),"滝沢和樹")</f>
        <v>滝沢和樹</v>
      </c>
      <c r="C34" s="5" t="str">
        <f>IFERROR(__xludf.DUMMYFUNCTION("""COMPUTED_VALUE"""),"たきざわ かずき")</f>
        <v>たきざわ かずき</v>
      </c>
      <c r="D34" s="5">
        <f>IFERROR(__xludf.DUMMYFUNCTION("""COMPUTED_VALUE"""),1.0)</f>
        <v>1</v>
      </c>
      <c r="E34" s="5" t="str">
        <f>IFERROR(__xludf.DUMMYFUNCTION("""COMPUTED_VALUE"""),"男")</f>
        <v>男</v>
      </c>
      <c r="F34" s="5" t="str">
        <f>IFERROR(__xludf.DUMMYFUNCTION("""COMPUTED_VALUE"""),"MUF")</f>
        <v>MUF</v>
      </c>
      <c r="G34" s="5" t="str">
        <f>IFERROR(__xludf.DUMMYFUNCTION("""COMPUTED_VALUE"""),"○出場")</f>
        <v>○出場</v>
      </c>
      <c r="H34" s="5">
        <f>IFERROR(__xludf.DUMMYFUNCTION("""COMPUTED_VALUE"""),524633.0)</f>
        <v>524633</v>
      </c>
      <c r="I34" s="5" t="str">
        <f>IFERROR(__xludf.DUMMYFUNCTION("""COMPUTED_VALUE"""),"○参加する")</f>
        <v>○参加する</v>
      </c>
      <c r="J34" s="5"/>
      <c r="K34" s="12">
        <f t="shared" si="2"/>
        <v>1</v>
      </c>
    </row>
    <row r="35" ht="19.5" customHeight="1">
      <c r="A35" s="5">
        <f>IFERROR(__xludf.DUMMYFUNCTION("""COMPUTED_VALUE"""),330723.0)</f>
        <v>330723</v>
      </c>
      <c r="B35" s="5" t="str">
        <f>IFERROR(__xludf.DUMMYFUNCTION("""COMPUTED_VALUE"""),"湊 春香")</f>
        <v>湊 春香</v>
      </c>
      <c r="C35" s="5" t="str">
        <f>IFERROR(__xludf.DUMMYFUNCTION("""COMPUTED_VALUE"""),"みなと はるか")</f>
        <v>みなと はるか</v>
      </c>
      <c r="D35" s="5">
        <f>IFERROR(__xludf.DUMMYFUNCTION("""COMPUTED_VALUE"""),1.0)</f>
        <v>1</v>
      </c>
      <c r="E35" s="5" t="str">
        <f>IFERROR(__xludf.DUMMYFUNCTION("""COMPUTED_VALUE"""),"女")</f>
        <v>女</v>
      </c>
      <c r="F35" s="5" t="str">
        <f>IFERROR(__xludf.DUMMYFUNCTION("""COMPUTED_VALUE"""),"WUF")</f>
        <v>WUF</v>
      </c>
      <c r="G35" s="5" t="str">
        <f>IFERROR(__xludf.DUMMYFUNCTION("""COMPUTED_VALUE"""),"○出場")</f>
        <v>○出場</v>
      </c>
      <c r="H35" s="5"/>
      <c r="I35" s="5" t="str">
        <f>IFERROR(__xludf.DUMMYFUNCTION("""COMPUTED_VALUE"""),"○参加する")</f>
        <v>○参加する</v>
      </c>
      <c r="J35" s="5"/>
      <c r="K35" s="12">
        <f t="shared" si="2"/>
        <v>1</v>
      </c>
    </row>
    <row r="36" ht="19.5" customHeight="1">
      <c r="A36" s="5">
        <f>IFERROR(__xludf.DUMMYFUNCTION("""COMPUTED_VALUE"""),330724.0)</f>
        <v>330724</v>
      </c>
      <c r="B36" s="5" t="str">
        <f>IFERROR(__xludf.DUMMYFUNCTION("""COMPUTED_VALUE"""),"山本 大地")</f>
        <v>山本 大地</v>
      </c>
      <c r="C36" s="5" t="str">
        <f>IFERROR(__xludf.DUMMYFUNCTION("""COMPUTED_VALUE"""),"やまもと だいち")</f>
        <v>やまもと だいち</v>
      </c>
      <c r="D36" s="5">
        <f>IFERROR(__xludf.DUMMYFUNCTION("""COMPUTED_VALUE"""),1.0)</f>
        <v>1</v>
      </c>
      <c r="E36" s="5" t="str">
        <f>IFERROR(__xludf.DUMMYFUNCTION("""COMPUTED_VALUE"""),"男")</f>
        <v>男</v>
      </c>
      <c r="F36" s="5" t="str">
        <f>IFERROR(__xludf.DUMMYFUNCTION("""COMPUTED_VALUE"""),"×欠場")</f>
        <v>×欠場</v>
      </c>
      <c r="G36" s="5" t="str">
        <f>IFERROR(__xludf.DUMMYFUNCTION("""COMPUTED_VALUE"""),"×欠場")</f>
        <v>×欠場</v>
      </c>
      <c r="H36" s="5"/>
      <c r="I36" s="5" t="str">
        <f>IFERROR(__xludf.DUMMYFUNCTION("""COMPUTED_VALUE"""),"×参加しない")</f>
        <v>×参加しない</v>
      </c>
      <c r="J36" s="5"/>
      <c r="K36" s="12">
        <f t="shared" si="2"/>
        <v>0</v>
      </c>
    </row>
    <row r="37" ht="19.5" customHeight="1">
      <c r="A37" s="5">
        <f>IFERROR(__xludf.DUMMYFUNCTION("""COMPUTED_VALUE"""),330725.0)</f>
        <v>330725</v>
      </c>
      <c r="B37" s="5" t="str">
        <f>IFERROR(__xludf.DUMMYFUNCTION("""COMPUTED_VALUE"""),"中嶋 啓太")</f>
        <v>中嶋 啓太</v>
      </c>
      <c r="C37" s="5" t="str">
        <f>IFERROR(__xludf.DUMMYFUNCTION("""COMPUTED_VALUE"""),"なかじま けいた")</f>
        <v>なかじま けいた</v>
      </c>
      <c r="D37" s="5">
        <f>IFERROR(__xludf.DUMMYFUNCTION("""COMPUTED_VALUE"""),1.0)</f>
        <v>1</v>
      </c>
      <c r="E37" s="5" t="str">
        <f>IFERROR(__xludf.DUMMYFUNCTION("""COMPUTED_VALUE"""),"男")</f>
        <v>男</v>
      </c>
      <c r="F37" s="5" t="str">
        <f>IFERROR(__xludf.DUMMYFUNCTION("""COMPUTED_VALUE"""),"MUF")</f>
        <v>MUF</v>
      </c>
      <c r="G37" s="5" t="str">
        <f>IFERROR(__xludf.DUMMYFUNCTION("""COMPUTED_VALUE"""),"○出場")</f>
        <v>○出場</v>
      </c>
      <c r="H37" s="5"/>
      <c r="I37" s="5" t="str">
        <f>IFERROR(__xludf.DUMMYFUNCTION("""COMPUTED_VALUE"""),"○参加する")</f>
        <v>○参加する</v>
      </c>
      <c r="J37" s="5"/>
      <c r="K37" s="12">
        <f t="shared" si="2"/>
        <v>1</v>
      </c>
    </row>
    <row r="38" ht="19.5" customHeight="1">
      <c r="A38" s="5">
        <f>IFERROR(__xludf.DUMMYFUNCTION("""COMPUTED_VALUE"""),330726.0)</f>
        <v>330726</v>
      </c>
      <c r="B38" s="5" t="str">
        <f>IFERROR(__xludf.DUMMYFUNCTION("""COMPUTED_VALUE"""),"橋本 拓樹")</f>
        <v>橋本 拓樹</v>
      </c>
      <c r="C38" s="5" t="str">
        <f>IFERROR(__xludf.DUMMYFUNCTION("""COMPUTED_VALUE"""),"はしもと ひろき")</f>
        <v>はしもと ひろき</v>
      </c>
      <c r="D38" s="5">
        <f>IFERROR(__xludf.DUMMYFUNCTION("""COMPUTED_VALUE"""),1.0)</f>
        <v>1</v>
      </c>
      <c r="E38" s="5" t="str">
        <f>IFERROR(__xludf.DUMMYFUNCTION("""COMPUTED_VALUE"""),"男")</f>
        <v>男</v>
      </c>
      <c r="F38" s="5" t="str">
        <f>IFERROR(__xludf.DUMMYFUNCTION("""COMPUTED_VALUE"""),"×欠場")</f>
        <v>×欠場</v>
      </c>
      <c r="G38" s="5" t="str">
        <f>IFERROR(__xludf.DUMMYFUNCTION("""COMPUTED_VALUE"""),"×欠場")</f>
        <v>×欠場</v>
      </c>
      <c r="H38" s="5"/>
      <c r="I38" s="5" t="str">
        <f>IFERROR(__xludf.DUMMYFUNCTION("""COMPUTED_VALUE"""),"×参加しない")</f>
        <v>×参加しない</v>
      </c>
      <c r="J38" s="5"/>
      <c r="K38" s="12">
        <f t="shared" si="2"/>
        <v>0</v>
      </c>
    </row>
    <row r="39" ht="19.5" customHeight="1">
      <c r="A39" s="5">
        <f>IFERROR(__xludf.DUMMYFUNCTION("""COMPUTED_VALUE"""),330727.0)</f>
        <v>330727</v>
      </c>
      <c r="B39" s="5" t="str">
        <f>IFERROR(__xludf.DUMMYFUNCTION("""COMPUTED_VALUE"""),"牧野 恵太")</f>
        <v>牧野 恵太</v>
      </c>
      <c r="C39" s="5" t="str">
        <f>IFERROR(__xludf.DUMMYFUNCTION("""COMPUTED_VALUE"""),"まきの けいた")</f>
        <v>まきの けいた</v>
      </c>
      <c r="D39" s="5">
        <f>IFERROR(__xludf.DUMMYFUNCTION("""COMPUTED_VALUE"""),1.0)</f>
        <v>1</v>
      </c>
      <c r="E39" s="5" t="str">
        <f>IFERROR(__xludf.DUMMYFUNCTION("""COMPUTED_VALUE"""),"男")</f>
        <v>男</v>
      </c>
      <c r="F39" s="5" t="str">
        <f>IFERROR(__xludf.DUMMYFUNCTION("""COMPUTED_VALUE"""),"×欠場")</f>
        <v>×欠場</v>
      </c>
      <c r="G39" s="5" t="str">
        <f>IFERROR(__xludf.DUMMYFUNCTION("""COMPUTED_VALUE"""),"×欠場")</f>
        <v>×欠場</v>
      </c>
      <c r="H39" s="5"/>
      <c r="I39" s="5" t="str">
        <f>IFERROR(__xludf.DUMMYFUNCTION("""COMPUTED_VALUE"""),"×参加しない")</f>
        <v>×参加しない</v>
      </c>
      <c r="J39" s="5"/>
      <c r="K39" s="12">
        <f t="shared" si="2"/>
        <v>0</v>
      </c>
    </row>
    <row r="40" ht="19.5" customHeight="1">
      <c r="A40" s="5">
        <f>IFERROR(__xludf.DUMMYFUNCTION("""COMPUTED_VALUE"""),230701.0)</f>
        <v>230701</v>
      </c>
      <c r="B40" s="5" t="str">
        <f>IFERROR(__xludf.DUMMYFUNCTION("""COMPUTED_VALUE"""),"竹下舜人")</f>
        <v>竹下舜人</v>
      </c>
      <c r="C40" s="5" t="str">
        <f>IFERROR(__xludf.DUMMYFUNCTION("""COMPUTED_VALUE"""),"たけしたしゅんと")</f>
        <v>たけしたしゅんと</v>
      </c>
      <c r="D40" s="5">
        <f>IFERROR(__xludf.DUMMYFUNCTION("""COMPUTED_VALUE"""),2.0)</f>
        <v>2</v>
      </c>
      <c r="E40" s="5" t="str">
        <f>IFERROR(__xludf.DUMMYFUNCTION("""COMPUTED_VALUE"""),"男")</f>
        <v>男</v>
      </c>
      <c r="F40" s="5" t="str">
        <f>IFERROR(__xludf.DUMMYFUNCTION("""COMPUTED_VALUE"""),"MUA")</f>
        <v>MUA</v>
      </c>
      <c r="G40" s="5" t="str">
        <f>IFERROR(__xludf.DUMMYFUNCTION("""COMPUTED_VALUE"""),"○出場")</f>
        <v>○出場</v>
      </c>
      <c r="H40" s="5"/>
      <c r="I40" s="5" t="str">
        <f>IFERROR(__xludf.DUMMYFUNCTION("""COMPUTED_VALUE"""),"○参加する")</f>
        <v>○参加する</v>
      </c>
      <c r="J40" s="5"/>
      <c r="K40" s="12">
        <f t="shared" si="2"/>
        <v>1</v>
      </c>
    </row>
    <row r="41" ht="19.5" customHeight="1">
      <c r="A41" s="5">
        <f>IFERROR(__xludf.DUMMYFUNCTION("""COMPUTED_VALUE"""),230702.0)</f>
        <v>230702</v>
      </c>
      <c r="B41" s="5" t="str">
        <f>IFERROR(__xludf.DUMMYFUNCTION("""COMPUTED_VALUE"""),"直江 隼輝")</f>
        <v>直江 隼輝</v>
      </c>
      <c r="C41" s="5" t="str">
        <f>IFERROR(__xludf.DUMMYFUNCTION("""COMPUTED_VALUE"""),"なおえ しゅんき")</f>
        <v>なおえ しゅんき</v>
      </c>
      <c r="D41" s="5">
        <f>IFERROR(__xludf.DUMMYFUNCTION("""COMPUTED_VALUE"""),2.0)</f>
        <v>2</v>
      </c>
      <c r="E41" s="5" t="str">
        <f>IFERROR(__xludf.DUMMYFUNCTION("""COMPUTED_VALUE"""),"男")</f>
        <v>男</v>
      </c>
      <c r="F41" s="5" t="str">
        <f>IFERROR(__xludf.DUMMYFUNCTION("""COMPUTED_VALUE"""),"MUA")</f>
        <v>MUA</v>
      </c>
      <c r="G41" s="5" t="str">
        <f>IFERROR(__xludf.DUMMYFUNCTION("""COMPUTED_VALUE"""),"○出場")</f>
        <v>○出場</v>
      </c>
      <c r="H41" s="5">
        <f>IFERROR(__xludf.DUMMYFUNCTION("""COMPUTED_VALUE"""),524634.0)</f>
        <v>524634</v>
      </c>
      <c r="I41" s="5" t="str">
        <f>IFERROR(__xludf.DUMMYFUNCTION("""COMPUTED_VALUE"""),"○参加する")</f>
        <v>○参加する</v>
      </c>
      <c r="J41" s="5"/>
      <c r="K41" s="12">
        <f t="shared" si="2"/>
        <v>1</v>
      </c>
    </row>
    <row r="42" ht="19.5" customHeight="1">
      <c r="A42" s="5">
        <f>IFERROR(__xludf.DUMMYFUNCTION("""COMPUTED_VALUE"""),230703.0)</f>
        <v>230703</v>
      </c>
      <c r="B42" s="5" t="str">
        <f>IFERROR(__xludf.DUMMYFUNCTION("""COMPUTED_VALUE"""),"門野 大地")</f>
        <v>門野 大地</v>
      </c>
      <c r="C42" s="5" t="str">
        <f>IFERROR(__xludf.DUMMYFUNCTION("""COMPUTED_VALUE"""),"かどの だいち")</f>
        <v>かどの だいち</v>
      </c>
      <c r="D42" s="5">
        <f>IFERROR(__xludf.DUMMYFUNCTION("""COMPUTED_VALUE"""),2.0)</f>
        <v>2</v>
      </c>
      <c r="E42" s="5" t="str">
        <f>IFERROR(__xludf.DUMMYFUNCTION("""COMPUTED_VALUE"""),"男")</f>
        <v>男</v>
      </c>
      <c r="F42" s="5" t="str">
        <f>IFERROR(__xludf.DUMMYFUNCTION("""COMPUTED_VALUE"""),"MUA")</f>
        <v>MUA</v>
      </c>
      <c r="G42" s="5" t="str">
        <f>IFERROR(__xludf.DUMMYFUNCTION("""COMPUTED_VALUE"""),"○出場")</f>
        <v>○出場</v>
      </c>
      <c r="H42" s="5">
        <f>IFERROR(__xludf.DUMMYFUNCTION("""COMPUTED_VALUE"""),524635.0)</f>
        <v>524635</v>
      </c>
      <c r="I42" s="5" t="str">
        <f>IFERROR(__xludf.DUMMYFUNCTION("""COMPUTED_VALUE"""),"○参加する")</f>
        <v>○参加する</v>
      </c>
      <c r="J42" s="5"/>
      <c r="K42" s="12">
        <f t="shared" si="2"/>
        <v>1</v>
      </c>
    </row>
    <row r="43" ht="19.5" customHeight="1">
      <c r="A43" s="5">
        <f>IFERROR(__xludf.DUMMYFUNCTION("""COMPUTED_VALUE"""),230704.0)</f>
        <v>230704</v>
      </c>
      <c r="B43" s="5" t="str">
        <f>IFERROR(__xludf.DUMMYFUNCTION("""COMPUTED_VALUE"""),"木明 拓玖")</f>
        <v>木明 拓玖</v>
      </c>
      <c r="C43" s="5" t="str">
        <f>IFERROR(__xludf.DUMMYFUNCTION("""COMPUTED_VALUE"""),"きみょう たく")</f>
        <v>きみょう たく</v>
      </c>
      <c r="D43" s="5">
        <f>IFERROR(__xludf.DUMMYFUNCTION("""COMPUTED_VALUE"""),2.0)</f>
        <v>2</v>
      </c>
      <c r="E43" s="5" t="str">
        <f>IFERROR(__xludf.DUMMYFUNCTION("""COMPUTED_VALUE"""),"男")</f>
        <v>男</v>
      </c>
      <c r="F43" s="5" t="str">
        <f>IFERROR(__xludf.DUMMYFUNCTION("""COMPUTED_VALUE"""),"MUA")</f>
        <v>MUA</v>
      </c>
      <c r="G43" s="5" t="str">
        <f>IFERROR(__xludf.DUMMYFUNCTION("""COMPUTED_VALUE"""),"○出場")</f>
        <v>○出場</v>
      </c>
      <c r="H43" s="5">
        <f>IFERROR(__xludf.DUMMYFUNCTION("""COMPUTED_VALUE"""),524636.0)</f>
        <v>524636</v>
      </c>
      <c r="I43" s="5" t="str">
        <f>IFERROR(__xludf.DUMMYFUNCTION("""COMPUTED_VALUE"""),"○参加する")</f>
        <v>○参加する</v>
      </c>
      <c r="J43" s="5"/>
      <c r="K43" s="12">
        <f t="shared" si="2"/>
        <v>1</v>
      </c>
    </row>
    <row r="44" ht="19.5" customHeight="1">
      <c r="A44" s="5">
        <f>IFERROR(__xludf.DUMMYFUNCTION("""COMPUTED_VALUE"""),230705.0)</f>
        <v>230705</v>
      </c>
      <c r="B44" s="5" t="str">
        <f>IFERROR(__xludf.DUMMYFUNCTION("""COMPUTED_VALUE"""),"田中 雅崇")</f>
        <v>田中 雅崇</v>
      </c>
      <c r="C44" s="5" t="str">
        <f>IFERROR(__xludf.DUMMYFUNCTION("""COMPUTED_VALUE"""),"たなか まさたか")</f>
        <v>たなか まさたか</v>
      </c>
      <c r="D44" s="5">
        <f>IFERROR(__xludf.DUMMYFUNCTION("""COMPUTED_VALUE"""),2.0)</f>
        <v>2</v>
      </c>
      <c r="E44" s="5" t="str">
        <f>IFERROR(__xludf.DUMMYFUNCTION("""COMPUTED_VALUE"""),"男")</f>
        <v>男</v>
      </c>
      <c r="F44" s="5" t="str">
        <f>IFERROR(__xludf.DUMMYFUNCTION("""COMPUTED_VALUE"""),"MUA")</f>
        <v>MUA</v>
      </c>
      <c r="G44" s="5" t="str">
        <f>IFERROR(__xludf.DUMMYFUNCTION("""COMPUTED_VALUE"""),"○出場")</f>
        <v>○出場</v>
      </c>
      <c r="H44" s="5">
        <f>IFERROR(__xludf.DUMMYFUNCTION("""COMPUTED_VALUE"""),524637.0)</f>
        <v>524637</v>
      </c>
      <c r="I44" s="5" t="str">
        <f>IFERROR(__xludf.DUMMYFUNCTION("""COMPUTED_VALUE"""),"○参加する")</f>
        <v>○参加する</v>
      </c>
      <c r="J44" s="5"/>
      <c r="K44" s="12">
        <f t="shared" si="2"/>
        <v>1</v>
      </c>
    </row>
    <row r="45" ht="19.5" customHeight="1">
      <c r="A45" s="5">
        <f>IFERROR(__xludf.DUMMYFUNCTION("""COMPUTED_VALUE"""),230706.0)</f>
        <v>230706</v>
      </c>
      <c r="B45" s="5" t="str">
        <f>IFERROR(__xludf.DUMMYFUNCTION("""COMPUTED_VALUE"""),"白戸 俊裕")</f>
        <v>白戸 俊裕</v>
      </c>
      <c r="C45" s="5" t="str">
        <f>IFERROR(__xludf.DUMMYFUNCTION("""COMPUTED_VALUE"""),"しらととしひろ")</f>
        <v>しらととしひろ</v>
      </c>
      <c r="D45" s="5">
        <f>IFERROR(__xludf.DUMMYFUNCTION("""COMPUTED_VALUE"""),2.0)</f>
        <v>2</v>
      </c>
      <c r="E45" s="5" t="str">
        <f>IFERROR(__xludf.DUMMYFUNCTION("""COMPUTED_VALUE"""),"男")</f>
        <v>男</v>
      </c>
      <c r="F45" s="5" t="str">
        <f>IFERROR(__xludf.DUMMYFUNCTION("""COMPUTED_VALUE"""),"MUA")</f>
        <v>MUA</v>
      </c>
      <c r="G45" s="5" t="str">
        <f>IFERROR(__xludf.DUMMYFUNCTION("""COMPUTED_VALUE"""),"○出場")</f>
        <v>○出場</v>
      </c>
      <c r="H45" s="5">
        <f>IFERROR(__xludf.DUMMYFUNCTION("""COMPUTED_VALUE"""),524638.0)</f>
        <v>524638</v>
      </c>
      <c r="I45" s="5" t="str">
        <f>IFERROR(__xludf.DUMMYFUNCTION("""COMPUTED_VALUE"""),"○参加する")</f>
        <v>○参加する</v>
      </c>
      <c r="J45" s="5"/>
      <c r="K45" s="12">
        <f t="shared" si="2"/>
        <v>1</v>
      </c>
    </row>
    <row r="46" ht="19.5" customHeight="1">
      <c r="A46" s="5">
        <f>IFERROR(__xludf.DUMMYFUNCTION("""COMPUTED_VALUE"""),230707.0)</f>
        <v>230707</v>
      </c>
      <c r="B46" s="5" t="str">
        <f>IFERROR(__xludf.DUMMYFUNCTION("""COMPUTED_VALUE"""),"佐々木 渉真")</f>
        <v>佐々木 渉真</v>
      </c>
      <c r="C46" s="5" t="str">
        <f>IFERROR(__xludf.DUMMYFUNCTION("""COMPUTED_VALUE"""),"ささき しょうま")</f>
        <v>ささき しょうま</v>
      </c>
      <c r="D46" s="5">
        <f>IFERROR(__xludf.DUMMYFUNCTION("""COMPUTED_VALUE"""),2.0)</f>
        <v>2</v>
      </c>
      <c r="E46" s="5" t="str">
        <f>IFERROR(__xludf.DUMMYFUNCTION("""COMPUTED_VALUE"""),"男")</f>
        <v>男</v>
      </c>
      <c r="F46" s="5" t="str">
        <f>IFERROR(__xludf.DUMMYFUNCTION("""COMPUTED_VALUE"""),"MUA")</f>
        <v>MUA</v>
      </c>
      <c r="G46" s="5" t="str">
        <f>IFERROR(__xludf.DUMMYFUNCTION("""COMPUTED_VALUE"""),"○出場")</f>
        <v>○出場</v>
      </c>
      <c r="H46" s="5"/>
      <c r="I46" s="5" t="str">
        <f>IFERROR(__xludf.DUMMYFUNCTION("""COMPUTED_VALUE"""),"○参加する")</f>
        <v>○参加する</v>
      </c>
      <c r="J46" s="5"/>
      <c r="K46" s="12">
        <f t="shared" si="2"/>
        <v>1</v>
      </c>
    </row>
    <row r="47" ht="19.5" customHeight="1">
      <c r="A47" s="5">
        <f>IFERROR(__xludf.DUMMYFUNCTION("""COMPUTED_VALUE"""),230708.0)</f>
        <v>230708</v>
      </c>
      <c r="B47" s="5" t="str">
        <f>IFERROR(__xludf.DUMMYFUNCTION("""COMPUTED_VALUE"""),"藤原 考太郎")</f>
        <v>藤原 考太郎</v>
      </c>
      <c r="C47" s="5" t="str">
        <f>IFERROR(__xludf.DUMMYFUNCTION("""COMPUTED_VALUE"""),"ふじわら こうたろう")</f>
        <v>ふじわら こうたろう</v>
      </c>
      <c r="D47" s="5">
        <f>IFERROR(__xludf.DUMMYFUNCTION("""COMPUTED_VALUE"""),2.0)</f>
        <v>2</v>
      </c>
      <c r="E47" s="5" t="str">
        <f>IFERROR(__xludf.DUMMYFUNCTION("""COMPUTED_VALUE"""),"男")</f>
        <v>男</v>
      </c>
      <c r="F47" s="5" t="str">
        <f>IFERROR(__xludf.DUMMYFUNCTION("""COMPUTED_VALUE"""),"MUA")</f>
        <v>MUA</v>
      </c>
      <c r="G47" s="5" t="str">
        <f>IFERROR(__xludf.DUMMYFUNCTION("""COMPUTED_VALUE"""),"○出場")</f>
        <v>○出場</v>
      </c>
      <c r="H47" s="5">
        <f>IFERROR(__xludf.DUMMYFUNCTION("""COMPUTED_VALUE"""),524639.0)</f>
        <v>524639</v>
      </c>
      <c r="I47" s="5" t="str">
        <f>IFERROR(__xludf.DUMMYFUNCTION("""COMPUTED_VALUE"""),"○参加する")</f>
        <v>○参加する</v>
      </c>
      <c r="J47" s="5"/>
      <c r="K47" s="12">
        <f t="shared" si="2"/>
        <v>1</v>
      </c>
    </row>
    <row r="48" ht="19.5" customHeight="1">
      <c r="A48" s="5">
        <f>IFERROR(__xludf.DUMMYFUNCTION("""COMPUTED_VALUE"""),230710.0)</f>
        <v>230710</v>
      </c>
      <c r="B48" s="5" t="str">
        <f>IFERROR(__xludf.DUMMYFUNCTION("""COMPUTED_VALUE"""),"栗原 拓未")</f>
        <v>栗原 拓未</v>
      </c>
      <c r="C48" s="5" t="str">
        <f>IFERROR(__xludf.DUMMYFUNCTION("""COMPUTED_VALUE"""),"くりはら たくみ")</f>
        <v>くりはら たくみ</v>
      </c>
      <c r="D48" s="5">
        <f>IFERROR(__xludf.DUMMYFUNCTION("""COMPUTED_VALUE"""),2.0)</f>
        <v>2</v>
      </c>
      <c r="E48" s="5" t="str">
        <f>IFERROR(__xludf.DUMMYFUNCTION("""COMPUTED_VALUE"""),"男")</f>
        <v>男</v>
      </c>
      <c r="F48" s="5" t="str">
        <f>IFERROR(__xludf.DUMMYFUNCTION("""COMPUTED_VALUE"""),"MUA")</f>
        <v>MUA</v>
      </c>
      <c r="G48" s="5" t="str">
        <f>IFERROR(__xludf.DUMMYFUNCTION("""COMPUTED_VALUE"""),"○出場")</f>
        <v>○出場</v>
      </c>
      <c r="H48" s="5"/>
      <c r="I48" s="5" t="str">
        <f>IFERROR(__xludf.DUMMYFUNCTION("""COMPUTED_VALUE"""),"○参加する")</f>
        <v>○参加する</v>
      </c>
      <c r="J48" s="5"/>
      <c r="K48" s="12">
        <f t="shared" si="2"/>
        <v>1</v>
      </c>
    </row>
    <row r="49" ht="19.5" customHeight="1">
      <c r="A49" s="5">
        <f>IFERROR(__xludf.DUMMYFUNCTION("""COMPUTED_VALUE"""),230711.0)</f>
        <v>230711</v>
      </c>
      <c r="B49" s="5" t="str">
        <f>IFERROR(__xludf.DUMMYFUNCTION("""COMPUTED_VALUE"""),"宮本 大翔")</f>
        <v>宮本 大翔</v>
      </c>
      <c r="C49" s="5" t="str">
        <f>IFERROR(__xludf.DUMMYFUNCTION("""COMPUTED_VALUE"""),"みやもと ひろと")</f>
        <v>みやもと ひろと</v>
      </c>
      <c r="D49" s="5">
        <f>IFERROR(__xludf.DUMMYFUNCTION("""COMPUTED_VALUE"""),2.0)</f>
        <v>2</v>
      </c>
      <c r="E49" s="5" t="str">
        <f>IFERROR(__xludf.DUMMYFUNCTION("""COMPUTED_VALUE"""),"男")</f>
        <v>男</v>
      </c>
      <c r="F49" s="5" t="str">
        <f>IFERROR(__xludf.DUMMYFUNCTION("""COMPUTED_VALUE"""),"MUA")</f>
        <v>MUA</v>
      </c>
      <c r="G49" s="5" t="str">
        <f>IFERROR(__xludf.DUMMYFUNCTION("""COMPUTED_VALUE"""),"○出場")</f>
        <v>○出場</v>
      </c>
      <c r="H49" s="5"/>
      <c r="I49" s="5" t="str">
        <f>IFERROR(__xludf.DUMMYFUNCTION("""COMPUTED_VALUE"""),"○参加する")</f>
        <v>○参加する</v>
      </c>
      <c r="J49" s="5"/>
      <c r="K49" s="12">
        <f t="shared" si="2"/>
        <v>1</v>
      </c>
    </row>
    <row r="50" ht="19.5" customHeight="1">
      <c r="A50" s="5">
        <f>IFERROR(__xludf.DUMMYFUNCTION("""COMPUTED_VALUE"""),230712.0)</f>
        <v>230712</v>
      </c>
      <c r="B50" s="5" t="str">
        <f>IFERROR(__xludf.DUMMYFUNCTION("""COMPUTED_VALUE"""),"小玉 幹太")</f>
        <v>小玉 幹太</v>
      </c>
      <c r="C50" s="5" t="str">
        <f>IFERROR(__xludf.DUMMYFUNCTION("""COMPUTED_VALUE"""),"こだま かんた")</f>
        <v>こだま かんた</v>
      </c>
      <c r="D50" s="5">
        <f>IFERROR(__xludf.DUMMYFUNCTION("""COMPUTED_VALUE"""),2.0)</f>
        <v>2</v>
      </c>
      <c r="E50" s="5" t="str">
        <f>IFERROR(__xludf.DUMMYFUNCTION("""COMPUTED_VALUE"""),"男")</f>
        <v>男</v>
      </c>
      <c r="F50" s="5" t="str">
        <f>IFERROR(__xludf.DUMMYFUNCTION("""COMPUTED_VALUE"""),"MUA")</f>
        <v>MUA</v>
      </c>
      <c r="G50" s="5" t="str">
        <f>IFERROR(__xludf.DUMMYFUNCTION("""COMPUTED_VALUE"""),"○出場")</f>
        <v>○出場</v>
      </c>
      <c r="H50" s="5"/>
      <c r="I50" s="5" t="str">
        <f>IFERROR(__xludf.DUMMYFUNCTION("""COMPUTED_VALUE"""),"○参加する")</f>
        <v>○参加する</v>
      </c>
      <c r="J50" s="5"/>
      <c r="K50" s="12">
        <f t="shared" si="2"/>
        <v>1</v>
      </c>
    </row>
    <row r="51" ht="19.5" customHeight="1">
      <c r="A51" s="5">
        <f>IFERROR(__xludf.DUMMYFUNCTION("""COMPUTED_VALUE"""),230713.0)</f>
        <v>230713</v>
      </c>
      <c r="B51" s="5" t="str">
        <f>IFERROR(__xludf.DUMMYFUNCTION("""COMPUTED_VALUE"""),"高野 誠")</f>
        <v>高野 誠</v>
      </c>
      <c r="C51" s="5" t="str">
        <f>IFERROR(__xludf.DUMMYFUNCTION("""COMPUTED_VALUE"""),"たかの まこと")</f>
        <v>たかの まこと</v>
      </c>
      <c r="D51" s="5">
        <f>IFERROR(__xludf.DUMMYFUNCTION("""COMPUTED_VALUE"""),2.0)</f>
        <v>2</v>
      </c>
      <c r="E51" s="5" t="str">
        <f>IFERROR(__xludf.DUMMYFUNCTION("""COMPUTED_VALUE"""),"男")</f>
        <v>男</v>
      </c>
      <c r="F51" s="5" t="str">
        <f>IFERROR(__xludf.DUMMYFUNCTION("""COMPUTED_VALUE"""),"MUA")</f>
        <v>MUA</v>
      </c>
      <c r="G51" s="5" t="str">
        <f>IFERROR(__xludf.DUMMYFUNCTION("""COMPUTED_VALUE"""),"○出場")</f>
        <v>○出場</v>
      </c>
      <c r="H51" s="5"/>
      <c r="I51" s="5" t="str">
        <f>IFERROR(__xludf.DUMMYFUNCTION("""COMPUTED_VALUE"""),"○参加する")</f>
        <v>○参加する</v>
      </c>
      <c r="J51" s="5"/>
      <c r="K51" s="12">
        <f t="shared" si="2"/>
        <v>1</v>
      </c>
    </row>
    <row r="52" ht="19.5" customHeight="1">
      <c r="A52" s="5">
        <f>IFERROR(__xludf.DUMMYFUNCTION("""COMPUTED_VALUE"""),230716.0)</f>
        <v>230716</v>
      </c>
      <c r="B52" s="5" t="str">
        <f>IFERROR(__xludf.DUMMYFUNCTION("""COMPUTED_VALUE"""),"川村 朝大")</f>
        <v>川村 朝大</v>
      </c>
      <c r="C52" s="5" t="str">
        <f>IFERROR(__xludf.DUMMYFUNCTION("""COMPUTED_VALUE"""),"かわむら あさひ")</f>
        <v>かわむら あさひ</v>
      </c>
      <c r="D52" s="5">
        <f>IFERROR(__xludf.DUMMYFUNCTION("""COMPUTED_VALUE"""),2.0)</f>
        <v>2</v>
      </c>
      <c r="E52" s="5" t="str">
        <f>IFERROR(__xludf.DUMMYFUNCTION("""COMPUTED_VALUE"""),"男")</f>
        <v>男</v>
      </c>
      <c r="F52" s="5" t="str">
        <f>IFERROR(__xludf.DUMMYFUNCTION("""COMPUTED_VALUE"""),"MUA")</f>
        <v>MUA</v>
      </c>
      <c r="G52" s="5" t="str">
        <f>IFERROR(__xludf.DUMMYFUNCTION("""COMPUTED_VALUE"""),"○出場")</f>
        <v>○出場</v>
      </c>
      <c r="H52" s="5"/>
      <c r="I52" s="5" t="str">
        <f>IFERROR(__xludf.DUMMYFUNCTION("""COMPUTED_VALUE"""),"○参加する")</f>
        <v>○参加する</v>
      </c>
      <c r="J52" s="5"/>
      <c r="K52" s="12">
        <f t="shared" si="2"/>
        <v>1</v>
      </c>
    </row>
    <row r="53" ht="19.5" customHeight="1">
      <c r="A53" s="5">
        <f>IFERROR(__xludf.DUMMYFUNCTION("""COMPUTED_VALUE"""),230717.0)</f>
        <v>230717</v>
      </c>
      <c r="B53" s="5" t="str">
        <f>IFERROR(__xludf.DUMMYFUNCTION("""COMPUTED_VALUE"""),"田所 大樹")</f>
        <v>田所 大樹</v>
      </c>
      <c r="C53" s="5" t="str">
        <f>IFERROR(__xludf.DUMMYFUNCTION("""COMPUTED_VALUE"""),"たどころ ひろき")</f>
        <v>たどころ ひろき</v>
      </c>
      <c r="D53" s="5">
        <f>IFERROR(__xludf.DUMMYFUNCTION("""COMPUTED_VALUE"""),2.0)</f>
        <v>2</v>
      </c>
      <c r="E53" s="5" t="str">
        <f>IFERROR(__xludf.DUMMYFUNCTION("""COMPUTED_VALUE"""),"男")</f>
        <v>男</v>
      </c>
      <c r="F53" s="5" t="str">
        <f>IFERROR(__xludf.DUMMYFUNCTION("""COMPUTED_VALUE"""),"MUA")</f>
        <v>MUA</v>
      </c>
      <c r="G53" s="5" t="str">
        <f>IFERROR(__xludf.DUMMYFUNCTION("""COMPUTED_VALUE"""),"○出場")</f>
        <v>○出場</v>
      </c>
      <c r="H53" s="5"/>
      <c r="I53" s="5" t="str">
        <f>IFERROR(__xludf.DUMMYFUNCTION("""COMPUTED_VALUE"""),"○参加する")</f>
        <v>○参加する</v>
      </c>
      <c r="J53" s="5"/>
      <c r="K53" s="12">
        <f t="shared" si="2"/>
        <v>1</v>
      </c>
    </row>
    <row r="54" ht="19.5" customHeight="1">
      <c r="A54" s="5">
        <f>IFERROR(__xludf.DUMMYFUNCTION("""COMPUTED_VALUE"""),230718.0)</f>
        <v>230718</v>
      </c>
      <c r="B54" s="5" t="str">
        <f>IFERROR(__xludf.DUMMYFUNCTION("""COMPUTED_VALUE"""),"山崎 葵")</f>
        <v>山崎 葵</v>
      </c>
      <c r="C54" s="5" t="str">
        <f>IFERROR(__xludf.DUMMYFUNCTION("""COMPUTED_VALUE"""),"やまさき あおい")</f>
        <v>やまさき あおい</v>
      </c>
      <c r="D54" s="5">
        <f>IFERROR(__xludf.DUMMYFUNCTION("""COMPUTED_VALUE"""),2.0)</f>
        <v>2</v>
      </c>
      <c r="E54" s="5" t="str">
        <f>IFERROR(__xludf.DUMMYFUNCTION("""COMPUTED_VALUE"""),"女")</f>
        <v>女</v>
      </c>
      <c r="F54" s="5" t="str">
        <f>IFERROR(__xludf.DUMMYFUNCTION("""COMPUTED_VALUE"""),"WUA")</f>
        <v>WUA</v>
      </c>
      <c r="G54" s="5" t="str">
        <f>IFERROR(__xludf.DUMMYFUNCTION("""COMPUTED_VALUE"""),"○出場")</f>
        <v>○出場</v>
      </c>
      <c r="H54" s="5">
        <f>IFERROR(__xludf.DUMMYFUNCTION("""COMPUTED_VALUE"""),524640.0)</f>
        <v>524640</v>
      </c>
      <c r="I54" s="5" t="str">
        <f>IFERROR(__xludf.DUMMYFUNCTION("""COMPUTED_VALUE"""),"○参加する")</f>
        <v>○参加する</v>
      </c>
      <c r="J54" s="5"/>
      <c r="K54" s="12">
        <f t="shared" si="2"/>
        <v>1</v>
      </c>
    </row>
    <row r="55" ht="19.5" customHeight="1">
      <c r="A55" s="5">
        <f>IFERROR(__xludf.DUMMYFUNCTION("""COMPUTED_VALUE"""),230720.0)</f>
        <v>230720</v>
      </c>
      <c r="B55" s="5" t="str">
        <f>IFERROR(__xludf.DUMMYFUNCTION("""COMPUTED_VALUE"""),"及川 悠太郎")</f>
        <v>及川 悠太郎</v>
      </c>
      <c r="C55" s="5" t="str">
        <f>IFERROR(__xludf.DUMMYFUNCTION("""COMPUTED_VALUE"""),"おいかわ ゆうたろう")</f>
        <v>おいかわ ゆうたろう</v>
      </c>
      <c r="D55" s="5">
        <f>IFERROR(__xludf.DUMMYFUNCTION("""COMPUTED_VALUE"""),2.0)</f>
        <v>2</v>
      </c>
      <c r="E55" s="5" t="str">
        <f>IFERROR(__xludf.DUMMYFUNCTION("""COMPUTED_VALUE"""),"男")</f>
        <v>男</v>
      </c>
      <c r="F55" s="5" t="str">
        <f>IFERROR(__xludf.DUMMYFUNCTION("""COMPUTED_VALUE"""),"MUA")</f>
        <v>MUA</v>
      </c>
      <c r="G55" s="5" t="str">
        <f>IFERROR(__xludf.DUMMYFUNCTION("""COMPUTED_VALUE"""),"○出場")</f>
        <v>○出場</v>
      </c>
      <c r="H55" s="5"/>
      <c r="I55" s="5" t="str">
        <f>IFERROR(__xludf.DUMMYFUNCTION("""COMPUTED_VALUE"""),"○参加する")</f>
        <v>○参加する</v>
      </c>
      <c r="J55" s="5"/>
      <c r="K55" s="12">
        <f t="shared" si="2"/>
        <v>1</v>
      </c>
    </row>
    <row r="56" ht="19.5" customHeight="1">
      <c r="A56" s="5">
        <f>IFERROR(__xludf.DUMMYFUNCTION("""COMPUTED_VALUE"""),230723.0)</f>
        <v>230723</v>
      </c>
      <c r="B56" s="5" t="str">
        <f>IFERROR(__xludf.DUMMYFUNCTION("""COMPUTED_VALUE"""),"吉川 直希")</f>
        <v>吉川 直希</v>
      </c>
      <c r="C56" s="5" t="str">
        <f>IFERROR(__xludf.DUMMYFUNCTION("""COMPUTED_VALUE"""),"よしかわ なおき")</f>
        <v>よしかわ なおき</v>
      </c>
      <c r="D56" s="5">
        <f>IFERROR(__xludf.DUMMYFUNCTION("""COMPUTED_VALUE"""),2.0)</f>
        <v>2</v>
      </c>
      <c r="E56" s="5" t="str">
        <f>IFERROR(__xludf.DUMMYFUNCTION("""COMPUTED_VALUE"""),"男")</f>
        <v>男</v>
      </c>
      <c r="F56" s="5" t="str">
        <f>IFERROR(__xludf.DUMMYFUNCTION("""COMPUTED_VALUE"""),"MUA")</f>
        <v>MUA</v>
      </c>
      <c r="G56" s="5" t="str">
        <f>IFERROR(__xludf.DUMMYFUNCTION("""COMPUTED_VALUE"""),"○出場")</f>
        <v>○出場</v>
      </c>
      <c r="H56" s="5"/>
      <c r="I56" s="5" t="str">
        <f>IFERROR(__xludf.DUMMYFUNCTION("""COMPUTED_VALUE"""),"○参加する")</f>
        <v>○参加する</v>
      </c>
      <c r="J56" s="5"/>
      <c r="K56" s="12">
        <f t="shared" si="2"/>
        <v>1</v>
      </c>
    </row>
    <row r="57" ht="19.5" customHeight="1">
      <c r="A57" s="5">
        <f>IFERROR(__xludf.DUMMYFUNCTION("""COMPUTED_VALUE"""),130701.0)</f>
        <v>130701</v>
      </c>
      <c r="B57" s="5" t="str">
        <f>IFERROR(__xludf.DUMMYFUNCTION("""COMPUTED_VALUE"""),"稲邊 拓哉")</f>
        <v>稲邊 拓哉</v>
      </c>
      <c r="C57" s="5" t="str">
        <f>IFERROR(__xludf.DUMMYFUNCTION("""COMPUTED_VALUE"""),"いなべ たくや")</f>
        <v>いなべ たくや</v>
      </c>
      <c r="D57" s="5">
        <f>IFERROR(__xludf.DUMMYFUNCTION("""COMPUTED_VALUE"""),3.0)</f>
        <v>3</v>
      </c>
      <c r="E57" s="5" t="str">
        <f>IFERROR(__xludf.DUMMYFUNCTION("""COMPUTED_VALUE"""),"男")</f>
        <v>男</v>
      </c>
      <c r="F57" s="5" t="str">
        <f>IFERROR(__xludf.DUMMYFUNCTION("""COMPUTED_VALUE"""),"MUA")</f>
        <v>MUA</v>
      </c>
      <c r="G57" s="5" t="str">
        <f>IFERROR(__xludf.DUMMYFUNCTION("""COMPUTED_VALUE"""),"○出場")</f>
        <v>○出場</v>
      </c>
      <c r="H57" s="5"/>
      <c r="I57" s="5" t="str">
        <f>IFERROR(__xludf.DUMMYFUNCTION("""COMPUTED_VALUE"""),"○参加する")</f>
        <v>○参加する</v>
      </c>
      <c r="J57" s="5"/>
      <c r="K57" s="12">
        <f t="shared" si="2"/>
        <v>1</v>
      </c>
    </row>
    <row r="58" ht="19.5" customHeight="1">
      <c r="A58" s="5">
        <f>IFERROR(__xludf.DUMMYFUNCTION("""COMPUTED_VALUE"""),130702.0)</f>
        <v>130702</v>
      </c>
      <c r="B58" s="5" t="str">
        <f>IFERROR(__xludf.DUMMYFUNCTION("""COMPUTED_VALUE"""),"小野 健未")</f>
        <v>小野 健未</v>
      </c>
      <c r="C58" s="5" t="str">
        <f>IFERROR(__xludf.DUMMYFUNCTION("""COMPUTED_VALUE"""),"おの たけみ")</f>
        <v>おの たけみ</v>
      </c>
      <c r="D58" s="5">
        <f>IFERROR(__xludf.DUMMYFUNCTION("""COMPUTED_VALUE"""),3.0)</f>
        <v>3</v>
      </c>
      <c r="E58" s="5" t="str">
        <f>IFERROR(__xludf.DUMMYFUNCTION("""COMPUTED_VALUE"""),"男")</f>
        <v>男</v>
      </c>
      <c r="F58" s="5" t="str">
        <f>IFERROR(__xludf.DUMMYFUNCTION("""COMPUTED_VALUE"""),"MUA")</f>
        <v>MUA</v>
      </c>
      <c r="G58" s="5" t="str">
        <f>IFERROR(__xludf.DUMMYFUNCTION("""COMPUTED_VALUE"""),"○出場")</f>
        <v>○出場</v>
      </c>
      <c r="H58" s="5"/>
      <c r="I58" s="5" t="str">
        <f>IFERROR(__xludf.DUMMYFUNCTION("""COMPUTED_VALUE"""),"○参加する")</f>
        <v>○参加する</v>
      </c>
      <c r="J58" s="5"/>
      <c r="K58" s="12">
        <f t="shared" si="2"/>
        <v>1</v>
      </c>
    </row>
    <row r="59" ht="19.5" customHeight="1">
      <c r="A59" s="5">
        <f>IFERROR(__xludf.DUMMYFUNCTION("""COMPUTED_VALUE"""),130706.0)</f>
        <v>130706</v>
      </c>
      <c r="B59" s="5" t="str">
        <f>IFERROR(__xludf.DUMMYFUNCTION("""COMPUTED_VALUE"""),"谷口 瑞樹")</f>
        <v>谷口 瑞樹</v>
      </c>
      <c r="C59" s="5" t="str">
        <f>IFERROR(__xludf.DUMMYFUNCTION("""COMPUTED_VALUE"""),"たにぐち みずき")</f>
        <v>たにぐち みずき</v>
      </c>
      <c r="D59" s="5">
        <f>IFERROR(__xludf.DUMMYFUNCTION("""COMPUTED_VALUE"""),3.0)</f>
        <v>3</v>
      </c>
      <c r="E59" s="5" t="str">
        <f>IFERROR(__xludf.DUMMYFUNCTION("""COMPUTED_VALUE"""),"男")</f>
        <v>男</v>
      </c>
      <c r="F59" s="5" t="str">
        <f>IFERROR(__xludf.DUMMYFUNCTION("""COMPUTED_VALUE"""),"MUA")</f>
        <v>MUA</v>
      </c>
      <c r="G59" s="5" t="str">
        <f>IFERROR(__xludf.DUMMYFUNCTION("""COMPUTED_VALUE"""),"○出場")</f>
        <v>○出場</v>
      </c>
      <c r="H59" s="5">
        <f>IFERROR(__xludf.DUMMYFUNCTION("""COMPUTED_VALUE"""),519373.0)</f>
        <v>519373</v>
      </c>
      <c r="I59" s="5" t="str">
        <f>IFERROR(__xludf.DUMMYFUNCTION("""COMPUTED_VALUE"""),"○参加する")</f>
        <v>○参加する</v>
      </c>
      <c r="J59" s="5"/>
      <c r="K59" s="12">
        <f t="shared" si="2"/>
        <v>1</v>
      </c>
    </row>
    <row r="60" ht="19.5" customHeight="1">
      <c r="A60" s="5">
        <f>IFERROR(__xludf.DUMMYFUNCTION("""COMPUTED_VALUE"""),130707.0)</f>
        <v>130707</v>
      </c>
      <c r="B60" s="5" t="str">
        <f>IFERROR(__xludf.DUMMYFUNCTION("""COMPUTED_VALUE"""),"樋口 佳那")</f>
        <v>樋口 佳那</v>
      </c>
      <c r="C60" s="5" t="str">
        <f>IFERROR(__xludf.DUMMYFUNCTION("""COMPUTED_VALUE"""),"ひぐち かな")</f>
        <v>ひぐち かな</v>
      </c>
      <c r="D60" s="5">
        <f>IFERROR(__xludf.DUMMYFUNCTION("""COMPUTED_VALUE"""),3.0)</f>
        <v>3</v>
      </c>
      <c r="E60" s="5" t="str">
        <f>IFERROR(__xludf.DUMMYFUNCTION("""COMPUTED_VALUE"""),"女")</f>
        <v>女</v>
      </c>
      <c r="F60" s="5" t="str">
        <f>IFERROR(__xludf.DUMMYFUNCTION("""COMPUTED_VALUE"""),"WUA")</f>
        <v>WUA</v>
      </c>
      <c r="G60" s="5" t="str">
        <f>IFERROR(__xludf.DUMMYFUNCTION("""COMPUTED_VALUE"""),"○出場")</f>
        <v>○出場</v>
      </c>
      <c r="H60" s="5">
        <f>IFERROR(__xludf.DUMMYFUNCTION("""COMPUTED_VALUE"""),519047.0)</f>
        <v>519047</v>
      </c>
      <c r="I60" s="5" t="str">
        <f>IFERROR(__xludf.DUMMYFUNCTION("""COMPUTED_VALUE"""),"○参加する")</f>
        <v>○参加する</v>
      </c>
      <c r="J60" s="5"/>
      <c r="K60" s="12">
        <f t="shared" si="2"/>
        <v>1</v>
      </c>
    </row>
    <row r="61" ht="19.5" customHeight="1">
      <c r="A61" s="5">
        <f>IFERROR(__xludf.DUMMYFUNCTION("""COMPUTED_VALUE"""),130708.0)</f>
        <v>130708</v>
      </c>
      <c r="B61" s="5" t="str">
        <f>IFERROR(__xludf.DUMMYFUNCTION("""COMPUTED_VALUE"""),"雲尾 岳宗")</f>
        <v>雲尾 岳宗</v>
      </c>
      <c r="C61" s="5" t="str">
        <f>IFERROR(__xludf.DUMMYFUNCTION("""COMPUTED_VALUE"""),"くもお がくしゅう")</f>
        <v>くもお がくしゅう</v>
      </c>
      <c r="D61" s="5">
        <f>IFERROR(__xludf.DUMMYFUNCTION("""COMPUTED_VALUE"""),3.0)</f>
        <v>3</v>
      </c>
      <c r="E61" s="5" t="str">
        <f>IFERROR(__xludf.DUMMYFUNCTION("""COMPUTED_VALUE"""),"男")</f>
        <v>男</v>
      </c>
      <c r="F61" s="5" t="str">
        <f>IFERROR(__xludf.DUMMYFUNCTION("""COMPUTED_VALUE"""),"MUA")</f>
        <v>MUA</v>
      </c>
      <c r="G61" s="5" t="str">
        <f>IFERROR(__xludf.DUMMYFUNCTION("""COMPUTED_VALUE"""),"○出場")</f>
        <v>○出場</v>
      </c>
      <c r="H61" s="5"/>
      <c r="I61" s="5" t="str">
        <f>IFERROR(__xludf.DUMMYFUNCTION("""COMPUTED_VALUE"""),"○参加する")</f>
        <v>○参加する</v>
      </c>
      <c r="J61" s="5"/>
      <c r="K61" s="12">
        <f t="shared" si="2"/>
        <v>1</v>
      </c>
    </row>
    <row r="62" ht="19.5" customHeight="1">
      <c r="A62" s="5">
        <f>IFERROR(__xludf.DUMMYFUNCTION("""COMPUTED_VALUE"""),130710.0)</f>
        <v>130710</v>
      </c>
      <c r="B62" s="5" t="str">
        <f>IFERROR(__xludf.DUMMYFUNCTION("""COMPUTED_VALUE"""),"和田 真由子")</f>
        <v>和田 真由子</v>
      </c>
      <c r="C62" s="5" t="str">
        <f>IFERROR(__xludf.DUMMYFUNCTION("""COMPUTED_VALUE"""),"わだ まゆこ")</f>
        <v>わだ まゆこ</v>
      </c>
      <c r="D62" s="5">
        <f>IFERROR(__xludf.DUMMYFUNCTION("""COMPUTED_VALUE"""),3.0)</f>
        <v>3</v>
      </c>
      <c r="E62" s="5" t="str">
        <f>IFERROR(__xludf.DUMMYFUNCTION("""COMPUTED_VALUE"""),"女")</f>
        <v>女</v>
      </c>
      <c r="F62" s="5" t="str">
        <f>IFERROR(__xludf.DUMMYFUNCTION("""COMPUTED_VALUE"""),"WUA")</f>
        <v>WUA</v>
      </c>
      <c r="G62" s="5" t="str">
        <f>IFERROR(__xludf.DUMMYFUNCTION("""COMPUTED_VALUE"""),"○出場")</f>
        <v>○出場</v>
      </c>
      <c r="H62" s="5"/>
      <c r="I62" s="5" t="str">
        <f>IFERROR(__xludf.DUMMYFUNCTION("""COMPUTED_VALUE"""),"○参加する")</f>
        <v>○参加する</v>
      </c>
      <c r="J62" s="5"/>
      <c r="K62" s="12">
        <f t="shared" si="2"/>
        <v>1</v>
      </c>
    </row>
    <row r="63" ht="19.5" customHeight="1">
      <c r="A63" s="5">
        <f>IFERROR(__xludf.DUMMYFUNCTION("""COMPUTED_VALUE"""),130711.0)</f>
        <v>130711</v>
      </c>
      <c r="B63" s="5" t="str">
        <f>IFERROR(__xludf.DUMMYFUNCTION("""COMPUTED_VALUE"""),"坂池 なつほ")</f>
        <v>坂池 なつほ</v>
      </c>
      <c r="C63" s="5" t="str">
        <f>IFERROR(__xludf.DUMMYFUNCTION("""COMPUTED_VALUE"""),"さかいけ なつほ")</f>
        <v>さかいけ なつほ</v>
      </c>
      <c r="D63" s="5">
        <f>IFERROR(__xludf.DUMMYFUNCTION("""COMPUTED_VALUE"""),3.0)</f>
        <v>3</v>
      </c>
      <c r="E63" s="5" t="str">
        <f>IFERROR(__xludf.DUMMYFUNCTION("""COMPUTED_VALUE"""),"女")</f>
        <v>女</v>
      </c>
      <c r="F63" s="5" t="str">
        <f>IFERROR(__xludf.DUMMYFUNCTION("""COMPUTED_VALUE"""),"WUA")</f>
        <v>WUA</v>
      </c>
      <c r="G63" s="5" t="str">
        <f>IFERROR(__xludf.DUMMYFUNCTION("""COMPUTED_VALUE"""),"○出場")</f>
        <v>○出場</v>
      </c>
      <c r="H63" s="5"/>
      <c r="I63" s="5" t="str">
        <f>IFERROR(__xludf.DUMMYFUNCTION("""COMPUTED_VALUE"""),"○参加する")</f>
        <v>○参加する</v>
      </c>
      <c r="J63" s="5"/>
      <c r="K63" s="12">
        <f t="shared" si="2"/>
        <v>1</v>
      </c>
    </row>
    <row r="64" ht="19.5" customHeight="1">
      <c r="A64" s="5">
        <f>IFERROR(__xludf.DUMMYFUNCTION("""COMPUTED_VALUE"""),330701.0)</f>
        <v>330701</v>
      </c>
      <c r="B64" s="5" t="str">
        <f>IFERROR(__xludf.DUMMYFUNCTION("""COMPUTED_VALUE"""),"森清 星也")</f>
        <v>森清 星也</v>
      </c>
      <c r="C64" s="5" t="str">
        <f>IFERROR(__xludf.DUMMYFUNCTION("""COMPUTED_VALUE"""),"もりきよ せいや")</f>
        <v>もりきよ せいや</v>
      </c>
      <c r="D64" s="5">
        <f>IFERROR(__xludf.DUMMYFUNCTION("""COMPUTED_VALUE"""),3.0)</f>
        <v>3</v>
      </c>
      <c r="E64" s="5" t="str">
        <f>IFERROR(__xludf.DUMMYFUNCTION("""COMPUTED_VALUE"""),"男")</f>
        <v>男</v>
      </c>
      <c r="F64" s="5" t="str">
        <f>IFERROR(__xludf.DUMMYFUNCTION("""COMPUTED_VALUE"""),"MUA")</f>
        <v>MUA</v>
      </c>
      <c r="G64" s="5" t="str">
        <f>IFERROR(__xludf.DUMMYFUNCTION("""COMPUTED_VALUE"""),"○出場")</f>
        <v>○出場</v>
      </c>
      <c r="H64" s="5">
        <f>IFERROR(__xludf.DUMMYFUNCTION("""COMPUTED_VALUE"""),519373.0)</f>
        <v>519373</v>
      </c>
      <c r="I64" s="5" t="str">
        <f>IFERROR(__xludf.DUMMYFUNCTION("""COMPUTED_VALUE"""),"○参加する")</f>
        <v>○参加する</v>
      </c>
      <c r="J64" s="5"/>
      <c r="K64" s="12">
        <f t="shared" si="2"/>
        <v>1</v>
      </c>
    </row>
    <row r="65" ht="19.5" customHeight="1">
      <c r="A65" s="5">
        <f>IFERROR(__xludf.DUMMYFUNCTION("""COMPUTED_VALUE"""),30701.0)</f>
        <v>30701</v>
      </c>
      <c r="B65" s="5" t="str">
        <f>IFERROR(__xludf.DUMMYFUNCTION("""COMPUTED_VALUE"""),"鎌倉京平")</f>
        <v>鎌倉京平</v>
      </c>
      <c r="C65" s="5" t="str">
        <f>IFERROR(__xludf.DUMMYFUNCTION("""COMPUTED_VALUE"""),"かまくらきょうへい")</f>
        <v>かまくらきょうへい</v>
      </c>
      <c r="D65" s="5">
        <f>IFERROR(__xludf.DUMMYFUNCTION("""COMPUTED_VALUE"""),4.0)</f>
        <v>4</v>
      </c>
      <c r="E65" s="5" t="str">
        <f>IFERROR(__xludf.DUMMYFUNCTION("""COMPUTED_VALUE"""),"男")</f>
        <v>男</v>
      </c>
      <c r="F65" s="5" t="str">
        <f>IFERROR(__xludf.DUMMYFUNCTION("""COMPUTED_VALUE"""),"MUA")</f>
        <v>MUA</v>
      </c>
      <c r="G65" s="5" t="str">
        <f>IFERROR(__xludf.DUMMYFUNCTION("""COMPUTED_VALUE"""),"○出場")</f>
        <v>○出場</v>
      </c>
      <c r="H65" s="5"/>
      <c r="I65" s="5" t="str">
        <f>IFERROR(__xludf.DUMMYFUNCTION("""COMPUTED_VALUE"""),"○参加する")</f>
        <v>○参加する</v>
      </c>
      <c r="J65" s="5"/>
      <c r="K65" s="12">
        <f t="shared" si="2"/>
        <v>1</v>
      </c>
    </row>
    <row r="66" ht="19.5" customHeight="1">
      <c r="A66" s="5">
        <f>IFERROR(__xludf.DUMMYFUNCTION("""COMPUTED_VALUE"""),30702.0)</f>
        <v>30702</v>
      </c>
      <c r="B66" s="5" t="str">
        <f>IFERROR(__xludf.DUMMYFUNCTION("""COMPUTED_VALUE"""),"中井 健介")</f>
        <v>中井 健介</v>
      </c>
      <c r="C66" s="5" t="str">
        <f>IFERROR(__xludf.DUMMYFUNCTION("""COMPUTED_VALUE"""),"なかい けんすけ")</f>
        <v>なかい けんすけ</v>
      </c>
      <c r="D66" s="5">
        <f>IFERROR(__xludf.DUMMYFUNCTION("""COMPUTED_VALUE"""),4.0)</f>
        <v>4</v>
      </c>
      <c r="E66" s="5" t="str">
        <f>IFERROR(__xludf.DUMMYFUNCTION("""COMPUTED_VALUE"""),"男")</f>
        <v>男</v>
      </c>
      <c r="F66" s="5" t="str">
        <f>IFERROR(__xludf.DUMMYFUNCTION("""COMPUTED_VALUE"""),"×欠場")</f>
        <v>×欠場</v>
      </c>
      <c r="G66" s="5" t="str">
        <f>IFERROR(__xludf.DUMMYFUNCTION("""COMPUTED_VALUE"""),"×欠場")</f>
        <v>×欠場</v>
      </c>
      <c r="H66" s="5"/>
      <c r="I66" s="5" t="str">
        <f>IFERROR(__xludf.DUMMYFUNCTION("""COMPUTED_VALUE"""),"×参加しない")</f>
        <v>×参加しない</v>
      </c>
      <c r="J66" s="5"/>
      <c r="K66" s="12">
        <f t="shared" si="2"/>
        <v>0</v>
      </c>
    </row>
    <row r="67" ht="19.5" customHeight="1">
      <c r="A67" s="5">
        <f>IFERROR(__xludf.DUMMYFUNCTION("""COMPUTED_VALUE"""),30703.0)</f>
        <v>30703</v>
      </c>
      <c r="B67" s="5" t="str">
        <f>IFERROR(__xludf.DUMMYFUNCTION("""COMPUTED_VALUE"""),"市川 竣介")</f>
        <v>市川 竣介</v>
      </c>
      <c r="C67" s="5" t="str">
        <f>IFERROR(__xludf.DUMMYFUNCTION("""COMPUTED_VALUE"""),"いちかわ しゅんすけ")</f>
        <v>いちかわ しゅんすけ</v>
      </c>
      <c r="D67" s="5">
        <f>IFERROR(__xludf.DUMMYFUNCTION("""COMPUTED_VALUE"""),4.0)</f>
        <v>4</v>
      </c>
      <c r="E67" s="5" t="str">
        <f>IFERROR(__xludf.DUMMYFUNCTION("""COMPUTED_VALUE"""),"男")</f>
        <v>男</v>
      </c>
      <c r="F67" s="5" t="str">
        <f>IFERROR(__xludf.DUMMYFUNCTION("""COMPUTED_VALUE"""),"MUA")</f>
        <v>MUA</v>
      </c>
      <c r="G67" s="5" t="str">
        <f>IFERROR(__xludf.DUMMYFUNCTION("""COMPUTED_VALUE"""),"○出場")</f>
        <v>○出場</v>
      </c>
      <c r="H67" s="5"/>
      <c r="I67" s="5" t="str">
        <f>IFERROR(__xludf.DUMMYFUNCTION("""COMPUTED_VALUE"""),"○参加する")</f>
        <v>○参加する</v>
      </c>
      <c r="J67" s="5"/>
      <c r="K67" s="12">
        <f t="shared" si="2"/>
        <v>1</v>
      </c>
    </row>
    <row r="68" ht="19.5" customHeight="1">
      <c r="A68" s="5">
        <f>IFERROR(__xludf.DUMMYFUNCTION("""COMPUTED_VALUE"""),30704.0)</f>
        <v>30704</v>
      </c>
      <c r="B68" s="5" t="str">
        <f>IFERROR(__xludf.DUMMYFUNCTION("""COMPUTED_VALUE"""),"山崎 晃一")</f>
        <v>山崎 晃一</v>
      </c>
      <c r="C68" s="5" t="str">
        <f>IFERROR(__xludf.DUMMYFUNCTION("""COMPUTED_VALUE"""),"やまざき こういち")</f>
        <v>やまざき こういち</v>
      </c>
      <c r="D68" s="5">
        <f>IFERROR(__xludf.DUMMYFUNCTION("""COMPUTED_VALUE"""),4.0)</f>
        <v>4</v>
      </c>
      <c r="E68" s="5" t="str">
        <f>IFERROR(__xludf.DUMMYFUNCTION("""COMPUTED_VALUE"""),"男")</f>
        <v>男</v>
      </c>
      <c r="F68" s="5" t="str">
        <f>IFERROR(__xludf.DUMMYFUNCTION("""COMPUTED_VALUE"""),"MUA")</f>
        <v>MUA</v>
      </c>
      <c r="G68" s="5" t="str">
        <f>IFERROR(__xludf.DUMMYFUNCTION("""COMPUTED_VALUE"""),"○出場")</f>
        <v>○出場</v>
      </c>
      <c r="H68" s="5"/>
      <c r="I68" s="5" t="str">
        <f>IFERROR(__xludf.DUMMYFUNCTION("""COMPUTED_VALUE"""),"○参加する")</f>
        <v>○参加する</v>
      </c>
      <c r="J68" s="5"/>
      <c r="K68" s="12">
        <f t="shared" si="2"/>
        <v>1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733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31</v>
      </c>
      <c r="E4" s="7">
        <f t="shared" ref="E4:E8" si="1">C4*D4</f>
        <v>263500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2</v>
      </c>
      <c r="E5" s="7">
        <f t="shared" si="1"/>
        <v>16000</v>
      </c>
    </row>
    <row r="6" ht="19.5" customHeight="1">
      <c r="A6" s="2" t="s">
        <v>9</v>
      </c>
      <c r="B6" s="4"/>
      <c r="C6" s="7">
        <v>32700.0</v>
      </c>
      <c r="D6" s="5">
        <f>D4+D5</f>
        <v>33</v>
      </c>
      <c r="E6" s="7">
        <f t="shared" si="1"/>
        <v>1079100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1</v>
      </c>
      <c r="E7" s="7">
        <f t="shared" si="1"/>
        <v>4500</v>
      </c>
    </row>
    <row r="8" ht="19.5" customHeight="1">
      <c r="A8" s="2" t="s">
        <v>11</v>
      </c>
      <c r="B8" s="4"/>
      <c r="C8" s="7">
        <v>500.0</v>
      </c>
      <c r="D8" s="5">
        <f>D4-COUNT(H14:H201)</f>
        <v>5</v>
      </c>
      <c r="E8" s="7">
        <f t="shared" si="1"/>
        <v>2500</v>
      </c>
    </row>
    <row r="9" ht="19.5" customHeight="1">
      <c r="A9" s="9"/>
      <c r="B9" s="9"/>
      <c r="C9" s="9"/>
      <c r="D9" s="10" t="s">
        <v>5</v>
      </c>
      <c r="E9" s="11">
        <f>SUM(E4:E8)</f>
        <v>1365600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IFERROR(__xludf.DUMMYFUNCTION("FILTER('個人別エントリー'!C2:L1018,'個人別エントリー'!B2:B1018=A1)"),330901.0)</f>
        <v>330901</v>
      </c>
      <c r="B14" s="5" t="str">
        <f>IFERROR(__xludf.DUMMYFUNCTION("""COMPUTED_VALUE"""),"梶本 和")</f>
        <v>梶本 和</v>
      </c>
      <c r="C14" s="5" t="str">
        <f>IFERROR(__xludf.DUMMYFUNCTION("""COMPUTED_VALUE"""),"かじもと やまと")</f>
        <v>かじもと やまと</v>
      </c>
      <c r="D14" s="5">
        <f>IFERROR(__xludf.DUMMYFUNCTION("""COMPUTED_VALUE"""),1.0)</f>
        <v>1</v>
      </c>
      <c r="E14" s="5" t="str">
        <f>IFERROR(__xludf.DUMMYFUNCTION("""COMPUTED_VALUE"""),"男")</f>
        <v>男</v>
      </c>
      <c r="F14" s="5" t="str">
        <f>IFERROR(__xludf.DUMMYFUNCTION("""COMPUTED_VALUE"""),"MUF")</f>
        <v>MUF</v>
      </c>
      <c r="G14" s="5" t="str">
        <f>IFERROR(__xludf.DUMMYFUNCTION("""COMPUTED_VALUE"""),"○出場")</f>
        <v>○出場</v>
      </c>
      <c r="H14" s="5">
        <f>IFERROR(__xludf.DUMMYFUNCTION("""COMPUTED_VALUE"""),520600.0)</f>
        <v>520600</v>
      </c>
      <c r="I14" s="5" t="str">
        <f>IFERROR(__xludf.DUMMYFUNCTION("""COMPUTED_VALUE"""),"○参加する")</f>
        <v>○参加する</v>
      </c>
      <c r="J14" s="5"/>
      <c r="K14" s="12">
        <f t="shared" ref="K14:K201" si="2">IF(AND(OR(F14="×欠場",F14=""),OR(G14="×欠場",G14="")),0,1)</f>
        <v>1</v>
      </c>
      <c r="M14" s="5" t="str">
        <f>IFERROR(__xludf.DUMMYFUNCTION("FILTER('リレー内容'!$C$2:$K$51,'リレー内容'!$B$2:$B$51=A1)"),"○出場")</f>
        <v>○出場</v>
      </c>
      <c r="N14" s="5" t="str">
        <f>IFERROR(__xludf.DUMMYFUNCTION("""COMPUTED_VALUE"""),"×欠場")</f>
        <v>×欠場</v>
      </c>
      <c r="O14" s="5">
        <f>IFERROR(__xludf.DUMMYFUNCTION("""COMPUTED_VALUE"""),8.0)</f>
        <v>8</v>
      </c>
      <c r="P14" s="5">
        <f>IFERROR(__xludf.DUMMYFUNCTION("""COMPUTED_VALUE"""),0.0)</f>
        <v>0</v>
      </c>
      <c r="Q14" s="5">
        <f>IFERROR(__xludf.DUMMYFUNCTION("""COMPUTED_VALUE"""),0.0)</f>
        <v>0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IFERROR(__xludf.DUMMYFUNCTION("""COMPUTED_VALUE"""),1.0)</f>
        <v>1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IFERROR(__xludf.DUMMYFUNCTION("""COMPUTED_VALUE"""),330902.0)</f>
        <v>330902</v>
      </c>
      <c r="B15" s="5" t="str">
        <f>IFERROR(__xludf.DUMMYFUNCTION("""COMPUTED_VALUE"""),"久米 慧")</f>
        <v>久米 慧</v>
      </c>
      <c r="C15" s="5" t="str">
        <f>IFERROR(__xludf.DUMMYFUNCTION("""COMPUTED_VALUE"""),"くめ さとし")</f>
        <v>くめ さとし</v>
      </c>
      <c r="D15" s="5">
        <f>IFERROR(__xludf.DUMMYFUNCTION("""COMPUTED_VALUE"""),1.0)</f>
        <v>1</v>
      </c>
      <c r="E15" s="5" t="str">
        <f>IFERROR(__xludf.DUMMYFUNCTION("""COMPUTED_VALUE"""),"男")</f>
        <v>男</v>
      </c>
      <c r="F15" s="5" t="str">
        <f>IFERROR(__xludf.DUMMYFUNCTION("""COMPUTED_VALUE"""),"MUF")</f>
        <v>MUF</v>
      </c>
      <c r="G15" s="5" t="str">
        <f>IFERROR(__xludf.DUMMYFUNCTION("""COMPUTED_VALUE"""),"○出場")</f>
        <v>○出場</v>
      </c>
      <c r="H15" s="5">
        <f>IFERROR(__xludf.DUMMYFUNCTION("""COMPUTED_VALUE"""),270238.0)</f>
        <v>270238</v>
      </c>
      <c r="I15" s="5" t="str">
        <f>IFERROR(__xludf.DUMMYFUNCTION("""COMPUTED_VALUE"""),"○参加する")</f>
        <v>○参加する</v>
      </c>
      <c r="J15" s="5"/>
      <c r="K15" s="12">
        <f t="shared" si="2"/>
        <v>1</v>
      </c>
    </row>
    <row r="16" ht="19.5" customHeight="1">
      <c r="A16" s="5">
        <f>IFERROR(__xludf.DUMMYFUNCTION("""COMPUTED_VALUE"""),330903.0)</f>
        <v>330903</v>
      </c>
      <c r="B16" s="5" t="str">
        <f>IFERROR(__xludf.DUMMYFUNCTION("""COMPUTED_VALUE"""),"生田 真大")</f>
        <v>生田 真大</v>
      </c>
      <c r="C16" s="5" t="str">
        <f>IFERROR(__xludf.DUMMYFUNCTION("""COMPUTED_VALUE"""),"いくた まさひろ")</f>
        <v>いくた まさひろ</v>
      </c>
      <c r="D16" s="5">
        <f>IFERROR(__xludf.DUMMYFUNCTION("""COMPUTED_VALUE"""),1.0)</f>
        <v>1</v>
      </c>
      <c r="E16" s="5" t="str">
        <f>IFERROR(__xludf.DUMMYFUNCTION("""COMPUTED_VALUE"""),"男")</f>
        <v>男</v>
      </c>
      <c r="F16" s="5" t="str">
        <f>IFERROR(__xludf.DUMMYFUNCTION("""COMPUTED_VALUE"""),"×欠場")</f>
        <v>×欠場</v>
      </c>
      <c r="G16" s="5" t="str">
        <f>IFERROR(__xludf.DUMMYFUNCTION("""COMPUTED_VALUE"""),"×欠場")</f>
        <v>×欠場</v>
      </c>
      <c r="H16" s="5"/>
      <c r="I16" s="5" t="str">
        <f>IFERROR(__xludf.DUMMYFUNCTION("""COMPUTED_VALUE"""),"×参加しない")</f>
        <v>×参加しない</v>
      </c>
      <c r="J16" s="5"/>
      <c r="K16" s="12">
        <f t="shared" si="2"/>
        <v>0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>
        <f>IFERROR(__xludf.DUMMYFUNCTION("""COMPUTED_VALUE"""),330904.0)</f>
        <v>330904</v>
      </c>
      <c r="B17" s="5" t="str">
        <f>IFERROR(__xludf.DUMMYFUNCTION("""COMPUTED_VALUE"""),"森下 謙")</f>
        <v>森下 謙</v>
      </c>
      <c r="C17" s="5" t="str">
        <f>IFERROR(__xludf.DUMMYFUNCTION("""COMPUTED_VALUE"""),"もりした けん")</f>
        <v>もりした けん</v>
      </c>
      <c r="D17" s="5">
        <f>IFERROR(__xludf.DUMMYFUNCTION("""COMPUTED_VALUE"""),1.0)</f>
        <v>1</v>
      </c>
      <c r="E17" s="5" t="str">
        <f>IFERROR(__xludf.DUMMYFUNCTION("""COMPUTED_VALUE"""),"男")</f>
        <v>男</v>
      </c>
      <c r="F17" s="5" t="str">
        <f>IFERROR(__xludf.DUMMYFUNCTION("""COMPUTED_VALUE"""),"×欠場")</f>
        <v>×欠場</v>
      </c>
      <c r="G17" s="5" t="str">
        <f>IFERROR(__xludf.DUMMYFUNCTION("""COMPUTED_VALUE"""),"×欠場")</f>
        <v>×欠場</v>
      </c>
      <c r="H17" s="5"/>
      <c r="I17" s="5" t="str">
        <f>IFERROR(__xludf.DUMMYFUNCTION("""COMPUTED_VALUE"""),"×参加しない")</f>
        <v>×参加しない</v>
      </c>
      <c r="J17" s="5"/>
      <c r="K17" s="12">
        <f t="shared" si="2"/>
        <v>0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>
        <f>IFERROR(__xludf.DUMMYFUNCTION("""COMPUTED_VALUE"""),330905.0)</f>
        <v>330905</v>
      </c>
      <c r="B18" s="5" t="str">
        <f>IFERROR(__xludf.DUMMYFUNCTION("""COMPUTED_VALUE"""),"宇田 陽介")</f>
        <v>宇田 陽介</v>
      </c>
      <c r="C18" s="5" t="str">
        <f>IFERROR(__xludf.DUMMYFUNCTION("""COMPUTED_VALUE"""),"うだ ようすけ")</f>
        <v>うだ ようすけ</v>
      </c>
      <c r="D18" s="5">
        <f>IFERROR(__xludf.DUMMYFUNCTION("""COMPUTED_VALUE"""),1.0)</f>
        <v>1</v>
      </c>
      <c r="E18" s="5" t="str">
        <f>IFERROR(__xludf.DUMMYFUNCTION("""COMPUTED_VALUE"""),"男")</f>
        <v>男</v>
      </c>
      <c r="F18" s="5" t="str">
        <f>IFERROR(__xludf.DUMMYFUNCTION("""COMPUTED_VALUE"""),"MUF")</f>
        <v>MUF</v>
      </c>
      <c r="G18" s="5" t="str">
        <f>IFERROR(__xludf.DUMMYFUNCTION("""COMPUTED_VALUE"""),"○出場")</f>
        <v>○出場</v>
      </c>
      <c r="H18" s="5">
        <f>IFERROR(__xludf.DUMMYFUNCTION("""COMPUTED_VALUE"""),270235.0)</f>
        <v>270235</v>
      </c>
      <c r="I18" s="5" t="str">
        <f>IFERROR(__xludf.DUMMYFUNCTION("""COMPUTED_VALUE"""),"○参加する")</f>
        <v>○参加する</v>
      </c>
      <c r="J18" s="5"/>
      <c r="K18" s="12">
        <f t="shared" si="2"/>
        <v>1</v>
      </c>
      <c r="M18" s="5" t="s">
        <v>28</v>
      </c>
      <c r="N18" s="2" t="s">
        <v>329</v>
      </c>
      <c r="O18" s="4"/>
      <c r="P18" s="2" t="s">
        <v>2318</v>
      </c>
      <c r="Q18" s="3"/>
      <c r="R18" s="3"/>
      <c r="S18" s="3"/>
      <c r="T18" s="3"/>
      <c r="U18" s="4"/>
    </row>
    <row r="19" ht="19.5" customHeight="1">
      <c r="A19" s="5">
        <f>IFERROR(__xludf.DUMMYFUNCTION("""COMPUTED_VALUE"""),330906.0)</f>
        <v>330906</v>
      </c>
      <c r="B19" s="5" t="str">
        <f>IFERROR(__xludf.DUMMYFUNCTION("""COMPUTED_VALUE"""),"榎本 健")</f>
        <v>榎本 健</v>
      </c>
      <c r="C19" s="5" t="str">
        <f>IFERROR(__xludf.DUMMYFUNCTION("""COMPUTED_VALUE"""),"えのもと けん")</f>
        <v>えのもと けん</v>
      </c>
      <c r="D19" s="5">
        <f>IFERROR(__xludf.DUMMYFUNCTION("""COMPUTED_VALUE"""),1.0)</f>
        <v>1</v>
      </c>
      <c r="E19" s="5" t="str">
        <f>IFERROR(__xludf.DUMMYFUNCTION("""COMPUTED_VALUE"""),"男")</f>
        <v>男</v>
      </c>
      <c r="F19" s="5" t="str">
        <f>IFERROR(__xludf.DUMMYFUNCTION("""COMPUTED_VALUE"""),"×欠場")</f>
        <v>×欠場</v>
      </c>
      <c r="G19" s="5" t="str">
        <f>IFERROR(__xludf.DUMMYFUNCTION("""COMPUTED_VALUE"""),"×欠場")</f>
        <v>×欠場</v>
      </c>
      <c r="H19" s="5"/>
      <c r="I19" s="5" t="str">
        <f>IFERROR(__xludf.DUMMYFUNCTION("""COMPUTED_VALUE"""),"×参加しない")</f>
        <v>×参加しない</v>
      </c>
      <c r="J19" s="5"/>
      <c r="K19" s="12">
        <f t="shared" si="2"/>
        <v>0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>
        <f>IFERROR(__xludf.DUMMYFUNCTION("""COMPUTED_VALUE"""),330907.0)</f>
        <v>330907</v>
      </c>
      <c r="B20" s="5" t="str">
        <f>IFERROR(__xludf.DUMMYFUNCTION("""COMPUTED_VALUE"""),"大谷 悠斗")</f>
        <v>大谷 悠斗</v>
      </c>
      <c r="C20" s="5" t="str">
        <f>IFERROR(__xludf.DUMMYFUNCTION("""COMPUTED_VALUE"""),"おおたに ゆうと")</f>
        <v>おおたに ゆうと</v>
      </c>
      <c r="D20" s="5">
        <f>IFERROR(__xludf.DUMMYFUNCTION("""COMPUTED_VALUE"""),1.0)</f>
        <v>1</v>
      </c>
      <c r="E20" s="5" t="str">
        <f>IFERROR(__xludf.DUMMYFUNCTION("""COMPUTED_VALUE"""),"男")</f>
        <v>男</v>
      </c>
      <c r="F20" s="5" t="str">
        <f>IFERROR(__xludf.DUMMYFUNCTION("""COMPUTED_VALUE"""),"×欠場")</f>
        <v>×欠場</v>
      </c>
      <c r="G20" s="5" t="str">
        <f>IFERROR(__xludf.DUMMYFUNCTION("""COMPUTED_VALUE"""),"×欠場")</f>
        <v>×欠場</v>
      </c>
      <c r="H20" s="5"/>
      <c r="I20" s="5" t="str">
        <f>IFERROR(__xludf.DUMMYFUNCTION("""COMPUTED_VALUE"""),"×参加しない")</f>
        <v>×参加しない</v>
      </c>
      <c r="J20" s="5"/>
      <c r="K20" s="12">
        <f t="shared" si="2"/>
        <v>0</v>
      </c>
    </row>
    <row r="21" ht="19.5" customHeight="1">
      <c r="A21" s="5">
        <f>IFERROR(__xludf.DUMMYFUNCTION("""COMPUTED_VALUE"""),330908.0)</f>
        <v>330908</v>
      </c>
      <c r="B21" s="5" t="str">
        <f>IFERROR(__xludf.DUMMYFUNCTION("""COMPUTED_VALUE"""),"大森 寛玖")</f>
        <v>大森 寛玖</v>
      </c>
      <c r="C21" s="5" t="str">
        <f>IFERROR(__xludf.DUMMYFUNCTION("""COMPUTED_VALUE"""),"おおもり ひろき")</f>
        <v>おおもり ひろき</v>
      </c>
      <c r="D21" s="5">
        <f>IFERROR(__xludf.DUMMYFUNCTION("""COMPUTED_VALUE"""),1.0)</f>
        <v>1</v>
      </c>
      <c r="E21" s="5" t="str">
        <f>IFERROR(__xludf.DUMMYFUNCTION("""COMPUTED_VALUE"""),"男")</f>
        <v>男</v>
      </c>
      <c r="F21" s="5" t="str">
        <f>IFERROR(__xludf.DUMMYFUNCTION("""COMPUTED_VALUE"""),"MUF")</f>
        <v>MUF</v>
      </c>
      <c r="G21" s="5" t="str">
        <f>IFERROR(__xludf.DUMMYFUNCTION("""COMPUTED_VALUE"""),"○出場")</f>
        <v>○出場</v>
      </c>
      <c r="H21" s="5">
        <f>IFERROR(__xludf.DUMMYFUNCTION("""COMPUTED_VALUE"""),270236.0)</f>
        <v>270236</v>
      </c>
      <c r="I21" s="5" t="str">
        <f>IFERROR(__xludf.DUMMYFUNCTION("""COMPUTED_VALUE"""),"○参加する")</f>
        <v>○参加する</v>
      </c>
      <c r="J21" s="5"/>
      <c r="K21" s="12">
        <f t="shared" si="2"/>
        <v>1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>
        <f>IFERROR(__xludf.DUMMYFUNCTION("""COMPUTED_VALUE"""),330909.0)</f>
        <v>330909</v>
      </c>
      <c r="B22" s="5" t="str">
        <f>IFERROR(__xludf.DUMMYFUNCTION("""COMPUTED_VALUE"""),"角谷 拓海")</f>
        <v>角谷 拓海</v>
      </c>
      <c r="C22" s="5" t="str">
        <f>IFERROR(__xludf.DUMMYFUNCTION("""COMPUTED_VALUE"""),"かどや たくみ")</f>
        <v>かどや たくみ</v>
      </c>
      <c r="D22" s="5">
        <f>IFERROR(__xludf.DUMMYFUNCTION("""COMPUTED_VALUE"""),1.0)</f>
        <v>1</v>
      </c>
      <c r="E22" s="5" t="str">
        <f>IFERROR(__xludf.DUMMYFUNCTION("""COMPUTED_VALUE"""),"男")</f>
        <v>男</v>
      </c>
      <c r="F22" s="5" t="str">
        <f>IFERROR(__xludf.DUMMYFUNCTION("""COMPUTED_VALUE"""),"MUF")</f>
        <v>MUF</v>
      </c>
      <c r="G22" s="5" t="str">
        <f>IFERROR(__xludf.DUMMYFUNCTION("""COMPUTED_VALUE"""),"○出場")</f>
        <v>○出場</v>
      </c>
      <c r="H22" s="5">
        <f>IFERROR(__xludf.DUMMYFUNCTION("""COMPUTED_VALUE"""),270237.0)</f>
        <v>270237</v>
      </c>
      <c r="I22" s="5" t="str">
        <f>IFERROR(__xludf.DUMMYFUNCTION("""COMPUTED_VALUE"""),"○参加する")</f>
        <v>○参加する</v>
      </c>
      <c r="J22" s="5"/>
      <c r="K22" s="12">
        <f t="shared" si="2"/>
        <v>1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>
        <f>IFERROR(__xludf.DUMMYFUNCTION("""COMPUTED_VALUE"""),330910.0)</f>
        <v>330910</v>
      </c>
      <c r="B23" s="5" t="str">
        <f>IFERROR(__xludf.DUMMYFUNCTION("""COMPUTED_VALUE"""),"近藤 葉流")</f>
        <v>近藤 葉流</v>
      </c>
      <c r="C23" s="5" t="str">
        <f>IFERROR(__xludf.DUMMYFUNCTION("""COMPUTED_VALUE"""),"こんどう はる")</f>
        <v>こんどう はる</v>
      </c>
      <c r="D23" s="5">
        <f>IFERROR(__xludf.DUMMYFUNCTION("""COMPUTED_VALUE"""),1.0)</f>
        <v>1</v>
      </c>
      <c r="E23" s="5" t="str">
        <f>IFERROR(__xludf.DUMMYFUNCTION("""COMPUTED_VALUE"""),"男")</f>
        <v>男</v>
      </c>
      <c r="F23" s="5" t="str">
        <f>IFERROR(__xludf.DUMMYFUNCTION("""COMPUTED_VALUE"""),"×欠場")</f>
        <v>×欠場</v>
      </c>
      <c r="G23" s="5" t="str">
        <f>IFERROR(__xludf.DUMMYFUNCTION("""COMPUTED_VALUE"""),"×欠場")</f>
        <v>×欠場</v>
      </c>
      <c r="H23" s="5"/>
      <c r="I23" s="5" t="str">
        <f>IFERROR(__xludf.DUMMYFUNCTION("""COMPUTED_VALUE"""),"×参加しない")</f>
        <v>×参加しない</v>
      </c>
      <c r="J23" s="5"/>
      <c r="K23" s="12">
        <f t="shared" si="2"/>
        <v>0</v>
      </c>
      <c r="M23" s="2" t="str">
        <f>IFERROR(__xludf.DUMMYFUNCTION("FILTER('オフィシャル'!$B$2:$B$65,'オフィシャル'!$A$2:$A$65=A1)"),"朝間玲羽")</f>
        <v>朝間玲羽</v>
      </c>
      <c r="N23" s="4"/>
      <c r="O23" s="2" t="str">
        <f>IFERROR(__xludf.DUMMYFUNCTION("FILTER('オフィシャル'!$C$2:$C$65,'オフィシャル'!$A$2:$A$65=A1)"),"あさまりょう")</f>
        <v>あさまりょう</v>
      </c>
      <c r="P23" s="3"/>
      <c r="Q23" s="5" t="str">
        <f>IFERROR(__xludf.DUMMYFUNCTION("FILTER('オフィシャル'!$D$2:$D$65,'オフィシャル'!$A$2:$A$65=A1)"),"男")</f>
        <v>男</v>
      </c>
      <c r="R23" s="2" t="str">
        <f>IFERROR(__xludf.DUMMYFUNCTION("FILTER('オフィシャル'!$E$2:$E$65,'オフィシャル'!$A$2:$A$65=A1)"),"○する")</f>
        <v>○する</v>
      </c>
      <c r="S23" s="4"/>
      <c r="T23" s="14" t="str">
        <f>IFERROR(__xludf.DUMMYFUNCTION("FILTER('オフィシャル'!$F$2:$F$65,'オフィシャル'!$A$2:$A$65=A1)"),"")</f>
        <v/>
      </c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>
        <f>IFERROR(__xludf.DUMMYFUNCTION("""COMPUTED_VALUE"""),330911.0)</f>
        <v>330911</v>
      </c>
      <c r="B24" s="5" t="str">
        <f>IFERROR(__xludf.DUMMYFUNCTION("""COMPUTED_VALUE"""),"鈴木 遊人")</f>
        <v>鈴木 遊人</v>
      </c>
      <c r="C24" s="5" t="str">
        <f>IFERROR(__xludf.DUMMYFUNCTION("""COMPUTED_VALUE"""),"すずき ゆうと")</f>
        <v>すずき ゆうと</v>
      </c>
      <c r="D24" s="5">
        <f>IFERROR(__xludf.DUMMYFUNCTION("""COMPUTED_VALUE"""),1.0)</f>
        <v>1</v>
      </c>
      <c r="E24" s="5" t="str">
        <f>IFERROR(__xludf.DUMMYFUNCTION("""COMPUTED_VALUE"""),"男")</f>
        <v>男</v>
      </c>
      <c r="F24" s="5" t="str">
        <f>IFERROR(__xludf.DUMMYFUNCTION("""COMPUTED_VALUE"""),"×欠場")</f>
        <v>×欠場</v>
      </c>
      <c r="G24" s="5" t="str">
        <f>IFERROR(__xludf.DUMMYFUNCTION("""COMPUTED_VALUE"""),"×欠場")</f>
        <v>×欠場</v>
      </c>
      <c r="H24" s="5"/>
      <c r="I24" s="5" t="str">
        <f>IFERROR(__xludf.DUMMYFUNCTION("""COMPUTED_VALUE"""),"×参加しない")</f>
        <v>×参加しない</v>
      </c>
      <c r="J24" s="5"/>
      <c r="K24" s="12">
        <f t="shared" si="2"/>
        <v>0</v>
      </c>
      <c r="M24" s="2" t="str">
        <f>IFERROR(__xludf.DUMMYFUNCTION("""COMPUTED_VALUE"""),"伊藤元春")</f>
        <v>伊藤元春</v>
      </c>
      <c r="N24" s="4"/>
      <c r="O24" s="2" t="str">
        <f>IFERROR(__xludf.DUMMYFUNCTION("""COMPUTED_VALUE"""),"いとうもとはる")</f>
        <v>いとうもとはる</v>
      </c>
      <c r="P24" s="3"/>
      <c r="Q24" s="5" t="str">
        <f>IFERROR(__xludf.DUMMYFUNCTION("""COMPUTED_VALUE"""),"男")</f>
        <v>男</v>
      </c>
      <c r="R24" s="2" t="str">
        <f>IFERROR(__xludf.DUMMYFUNCTION("""COMPUTED_VALUE"""),"○する")</f>
        <v>○する</v>
      </c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>
        <f>IFERROR(__xludf.DUMMYFUNCTION("""COMPUTED_VALUE"""),330912.0)</f>
        <v>330912</v>
      </c>
      <c r="B25" s="5" t="str">
        <f>IFERROR(__xludf.DUMMYFUNCTION("""COMPUTED_VALUE"""),"鈴木 耀太")</f>
        <v>鈴木 耀太</v>
      </c>
      <c r="C25" s="5" t="str">
        <f>IFERROR(__xludf.DUMMYFUNCTION("""COMPUTED_VALUE"""),"すずき ようだい")</f>
        <v>すずき ようだい</v>
      </c>
      <c r="D25" s="5">
        <f>IFERROR(__xludf.DUMMYFUNCTION("""COMPUTED_VALUE"""),1.0)</f>
        <v>1</v>
      </c>
      <c r="E25" s="5" t="str">
        <f>IFERROR(__xludf.DUMMYFUNCTION("""COMPUTED_VALUE"""),"男")</f>
        <v>男</v>
      </c>
      <c r="F25" s="5" t="str">
        <f>IFERROR(__xludf.DUMMYFUNCTION("""COMPUTED_VALUE"""),"MUF")</f>
        <v>MUF</v>
      </c>
      <c r="G25" s="5" t="str">
        <f>IFERROR(__xludf.DUMMYFUNCTION("""COMPUTED_VALUE"""),"○出場")</f>
        <v>○出場</v>
      </c>
      <c r="H25" s="5">
        <f>IFERROR(__xludf.DUMMYFUNCTION("""COMPUTED_VALUE"""),270239.0)</f>
        <v>270239</v>
      </c>
      <c r="I25" s="5" t="str">
        <f>IFERROR(__xludf.DUMMYFUNCTION("""COMPUTED_VALUE"""),"○参加する")</f>
        <v>○参加する</v>
      </c>
      <c r="J25" s="5"/>
      <c r="K25" s="12">
        <f t="shared" si="2"/>
        <v>1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>
        <f>IFERROR(__xludf.DUMMYFUNCTION("""COMPUTED_VALUE"""),330913.0)</f>
        <v>330913</v>
      </c>
      <c r="B26" s="5" t="str">
        <f>IFERROR(__xludf.DUMMYFUNCTION("""COMPUTED_VALUE"""),"中村 仁紀")</f>
        <v>中村 仁紀</v>
      </c>
      <c r="C26" s="5" t="str">
        <f>IFERROR(__xludf.DUMMYFUNCTION("""COMPUTED_VALUE"""),"なかむら まさのり")</f>
        <v>なかむら まさのり</v>
      </c>
      <c r="D26" s="5">
        <f>IFERROR(__xludf.DUMMYFUNCTION("""COMPUTED_VALUE"""),1.0)</f>
        <v>1</v>
      </c>
      <c r="E26" s="5" t="str">
        <f>IFERROR(__xludf.DUMMYFUNCTION("""COMPUTED_VALUE"""),"男")</f>
        <v>男</v>
      </c>
      <c r="F26" s="5" t="str">
        <f>IFERROR(__xludf.DUMMYFUNCTION("""COMPUTED_VALUE"""),"MUF")</f>
        <v>MUF</v>
      </c>
      <c r="G26" s="5" t="str">
        <f>IFERROR(__xludf.DUMMYFUNCTION("""COMPUTED_VALUE"""),"○出場")</f>
        <v>○出場</v>
      </c>
      <c r="H26" s="5">
        <f>IFERROR(__xludf.DUMMYFUNCTION("""COMPUTED_VALUE"""),270245.0)</f>
        <v>270245</v>
      </c>
      <c r="I26" s="5" t="str">
        <f>IFERROR(__xludf.DUMMYFUNCTION("""COMPUTED_VALUE"""),"○参加する")</f>
        <v>○参加する</v>
      </c>
      <c r="J26" s="5"/>
      <c r="K26" s="12">
        <f t="shared" si="2"/>
        <v>1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>
        <f>IFERROR(__xludf.DUMMYFUNCTION("""COMPUTED_VALUE"""),330914.0)</f>
        <v>330914</v>
      </c>
      <c r="B27" s="5" t="str">
        <f>IFERROR(__xludf.DUMMYFUNCTION("""COMPUTED_VALUE"""),"波羅 哲")</f>
        <v>波羅 哲</v>
      </c>
      <c r="C27" s="5" t="str">
        <f>IFERROR(__xludf.DUMMYFUNCTION("""COMPUTED_VALUE"""),"はら さとる")</f>
        <v>はら さとる</v>
      </c>
      <c r="D27" s="5">
        <f>IFERROR(__xludf.DUMMYFUNCTION("""COMPUTED_VALUE"""),1.0)</f>
        <v>1</v>
      </c>
      <c r="E27" s="5" t="str">
        <f>IFERROR(__xludf.DUMMYFUNCTION("""COMPUTED_VALUE"""),"男")</f>
        <v>男</v>
      </c>
      <c r="F27" s="5" t="str">
        <f>IFERROR(__xludf.DUMMYFUNCTION("""COMPUTED_VALUE"""),"MUF")</f>
        <v>MUF</v>
      </c>
      <c r="G27" s="5" t="str">
        <f>IFERROR(__xludf.DUMMYFUNCTION("""COMPUTED_VALUE"""),"○出場")</f>
        <v>○出場</v>
      </c>
      <c r="H27" s="5">
        <f>IFERROR(__xludf.DUMMYFUNCTION("""COMPUTED_VALUE"""),270246.0)</f>
        <v>270246</v>
      </c>
      <c r="I27" s="5" t="str">
        <f>IFERROR(__xludf.DUMMYFUNCTION("""COMPUTED_VALUE"""),"○参加する")</f>
        <v>○参加する</v>
      </c>
      <c r="J27" s="5"/>
      <c r="K27" s="12">
        <f t="shared" si="2"/>
        <v>1</v>
      </c>
    </row>
    <row r="28" ht="19.5" customHeight="1">
      <c r="A28" s="5">
        <f>IFERROR(__xludf.DUMMYFUNCTION("""COMPUTED_VALUE"""),330915.0)</f>
        <v>330915</v>
      </c>
      <c r="B28" s="5" t="str">
        <f>IFERROR(__xludf.DUMMYFUNCTION("""COMPUTED_VALUE"""),"原 泰也")</f>
        <v>原 泰也</v>
      </c>
      <c r="C28" s="5" t="str">
        <f>IFERROR(__xludf.DUMMYFUNCTION("""COMPUTED_VALUE"""),"はら たいや")</f>
        <v>はら たいや</v>
      </c>
      <c r="D28" s="5">
        <f>IFERROR(__xludf.DUMMYFUNCTION("""COMPUTED_VALUE"""),1.0)</f>
        <v>1</v>
      </c>
      <c r="E28" s="5" t="str">
        <f>IFERROR(__xludf.DUMMYFUNCTION("""COMPUTED_VALUE"""),"男")</f>
        <v>男</v>
      </c>
      <c r="F28" s="5" t="str">
        <f>IFERROR(__xludf.DUMMYFUNCTION("""COMPUTED_VALUE"""),"MUF")</f>
        <v>MUF</v>
      </c>
      <c r="G28" s="5" t="str">
        <f>IFERROR(__xludf.DUMMYFUNCTION("""COMPUTED_VALUE"""),"○出場")</f>
        <v>○出場</v>
      </c>
      <c r="H28" s="5">
        <f>IFERROR(__xludf.DUMMYFUNCTION("""COMPUTED_VALUE"""),270240.0)</f>
        <v>270240</v>
      </c>
      <c r="I28" s="5" t="str">
        <f>IFERROR(__xludf.DUMMYFUNCTION("""COMPUTED_VALUE"""),"○参加する")</f>
        <v>○参加する</v>
      </c>
      <c r="J28" s="5"/>
      <c r="K28" s="12">
        <f t="shared" si="2"/>
        <v>1</v>
      </c>
    </row>
    <row r="29" ht="19.5" customHeight="1">
      <c r="A29" s="5">
        <f>IFERROR(__xludf.DUMMYFUNCTION("""COMPUTED_VALUE"""),330916.0)</f>
        <v>330916</v>
      </c>
      <c r="B29" s="5" t="str">
        <f>IFERROR(__xludf.DUMMYFUNCTION("""COMPUTED_VALUE"""),"春田 将希")</f>
        <v>春田 将希</v>
      </c>
      <c r="C29" s="5" t="str">
        <f>IFERROR(__xludf.DUMMYFUNCTION("""COMPUTED_VALUE"""),"はるた まさき")</f>
        <v>はるた まさき</v>
      </c>
      <c r="D29" s="5">
        <f>IFERROR(__xludf.DUMMYFUNCTION("""COMPUTED_VALUE"""),1.0)</f>
        <v>1</v>
      </c>
      <c r="E29" s="5" t="str">
        <f>IFERROR(__xludf.DUMMYFUNCTION("""COMPUTED_VALUE"""),"男")</f>
        <v>男</v>
      </c>
      <c r="F29" s="5" t="str">
        <f>IFERROR(__xludf.DUMMYFUNCTION("""COMPUTED_VALUE"""),"×欠場")</f>
        <v>×欠場</v>
      </c>
      <c r="G29" s="5" t="str">
        <f>IFERROR(__xludf.DUMMYFUNCTION("""COMPUTED_VALUE"""),"×欠場")</f>
        <v>×欠場</v>
      </c>
      <c r="H29" s="5"/>
      <c r="I29" s="5" t="str">
        <f>IFERROR(__xludf.DUMMYFUNCTION("""COMPUTED_VALUE"""),"×参加しない")</f>
        <v>×参加しない</v>
      </c>
      <c r="J29" s="5"/>
      <c r="K29" s="12">
        <f t="shared" si="2"/>
        <v>0</v>
      </c>
    </row>
    <row r="30" ht="19.5" customHeight="1">
      <c r="A30" s="5">
        <f>IFERROR(__xludf.DUMMYFUNCTION("""COMPUTED_VALUE"""),330917.0)</f>
        <v>330917</v>
      </c>
      <c r="B30" s="5" t="str">
        <f>IFERROR(__xludf.DUMMYFUNCTION("""COMPUTED_VALUE"""),"福田 泰士")</f>
        <v>福田 泰士</v>
      </c>
      <c r="C30" s="5" t="str">
        <f>IFERROR(__xludf.DUMMYFUNCTION("""COMPUTED_VALUE"""),"ふくだ たいし")</f>
        <v>ふくだ たいし</v>
      </c>
      <c r="D30" s="5">
        <f>IFERROR(__xludf.DUMMYFUNCTION("""COMPUTED_VALUE"""),1.0)</f>
        <v>1</v>
      </c>
      <c r="E30" s="5" t="str">
        <f>IFERROR(__xludf.DUMMYFUNCTION("""COMPUTED_VALUE"""),"男")</f>
        <v>男</v>
      </c>
      <c r="F30" s="5" t="str">
        <f>IFERROR(__xludf.DUMMYFUNCTION("""COMPUTED_VALUE"""),"MUF")</f>
        <v>MUF</v>
      </c>
      <c r="G30" s="5" t="str">
        <f>IFERROR(__xludf.DUMMYFUNCTION("""COMPUTED_VALUE"""),"○出場")</f>
        <v>○出場</v>
      </c>
      <c r="H30" s="5">
        <f>IFERROR(__xludf.DUMMYFUNCTION("""COMPUTED_VALUE"""),270247.0)</f>
        <v>270247</v>
      </c>
      <c r="I30" s="5" t="str">
        <f>IFERROR(__xludf.DUMMYFUNCTION("""COMPUTED_VALUE"""),"○参加する")</f>
        <v>○参加する</v>
      </c>
      <c r="J30" s="5"/>
      <c r="K30" s="12">
        <f t="shared" si="2"/>
        <v>1</v>
      </c>
    </row>
    <row r="31" ht="19.5" customHeight="1">
      <c r="A31" s="5">
        <f>IFERROR(__xludf.DUMMYFUNCTION("""COMPUTED_VALUE"""),330918.0)</f>
        <v>330918</v>
      </c>
      <c r="B31" s="5" t="str">
        <f>IFERROR(__xludf.DUMMYFUNCTION("""COMPUTED_VALUE"""),"渡邉 魁")</f>
        <v>渡邉 魁</v>
      </c>
      <c r="C31" s="5" t="str">
        <f>IFERROR(__xludf.DUMMYFUNCTION("""COMPUTED_VALUE"""),"わたなべ かい")</f>
        <v>わたなべ かい</v>
      </c>
      <c r="D31" s="5">
        <f>IFERROR(__xludf.DUMMYFUNCTION("""COMPUTED_VALUE"""),1.0)</f>
        <v>1</v>
      </c>
      <c r="E31" s="5" t="str">
        <f>IFERROR(__xludf.DUMMYFUNCTION("""COMPUTED_VALUE"""),"男")</f>
        <v>男</v>
      </c>
      <c r="F31" s="5" t="str">
        <f>IFERROR(__xludf.DUMMYFUNCTION("""COMPUTED_VALUE"""),"×欠場")</f>
        <v>×欠場</v>
      </c>
      <c r="G31" s="5" t="str">
        <f>IFERROR(__xludf.DUMMYFUNCTION("""COMPUTED_VALUE"""),"×欠場")</f>
        <v>×欠場</v>
      </c>
      <c r="H31" s="5"/>
      <c r="I31" s="5" t="str">
        <f>IFERROR(__xludf.DUMMYFUNCTION("""COMPUTED_VALUE"""),"×参加しない")</f>
        <v>×参加しない</v>
      </c>
      <c r="J31" s="5"/>
      <c r="K31" s="12">
        <f t="shared" si="2"/>
        <v>0</v>
      </c>
    </row>
    <row r="32" ht="19.5" customHeight="1">
      <c r="A32" s="5">
        <f>IFERROR(__xludf.DUMMYFUNCTION("""COMPUTED_VALUE"""),330919.0)</f>
        <v>330919</v>
      </c>
      <c r="B32" s="5" t="str">
        <f>IFERROR(__xludf.DUMMYFUNCTION("""COMPUTED_VALUE"""),"飯田 菜々子")</f>
        <v>飯田 菜々子</v>
      </c>
      <c r="C32" s="5" t="str">
        <f>IFERROR(__xludf.DUMMYFUNCTION("""COMPUTED_VALUE"""),"いいだ ななこ")</f>
        <v>いいだ ななこ</v>
      </c>
      <c r="D32" s="5">
        <f>IFERROR(__xludf.DUMMYFUNCTION("""COMPUTED_VALUE"""),1.0)</f>
        <v>1</v>
      </c>
      <c r="E32" s="5" t="str">
        <f>IFERROR(__xludf.DUMMYFUNCTION("""COMPUTED_VALUE"""),"女")</f>
        <v>女</v>
      </c>
      <c r="F32" s="5" t="str">
        <f>IFERROR(__xludf.DUMMYFUNCTION("""COMPUTED_VALUE"""),"×欠場")</f>
        <v>×欠場</v>
      </c>
      <c r="G32" s="5" t="str">
        <f>IFERROR(__xludf.DUMMYFUNCTION("""COMPUTED_VALUE"""),"×欠場")</f>
        <v>×欠場</v>
      </c>
      <c r="H32" s="5"/>
      <c r="I32" s="5" t="str">
        <f>IFERROR(__xludf.DUMMYFUNCTION("""COMPUTED_VALUE"""),"×参加しない")</f>
        <v>×参加しない</v>
      </c>
      <c r="J32" s="5"/>
      <c r="K32" s="12">
        <f t="shared" si="2"/>
        <v>0</v>
      </c>
    </row>
    <row r="33" ht="19.5" customHeight="1">
      <c r="A33" s="5">
        <f>IFERROR(__xludf.DUMMYFUNCTION("""COMPUTED_VALUE"""),330920.0)</f>
        <v>330920</v>
      </c>
      <c r="B33" s="5" t="str">
        <f>IFERROR(__xludf.DUMMYFUNCTION("""COMPUTED_VALUE"""),"大野 栞")</f>
        <v>大野 栞</v>
      </c>
      <c r="C33" s="5" t="str">
        <f>IFERROR(__xludf.DUMMYFUNCTION("""COMPUTED_VALUE"""),"おおの しおり")</f>
        <v>おおの しおり</v>
      </c>
      <c r="D33" s="5">
        <f>IFERROR(__xludf.DUMMYFUNCTION("""COMPUTED_VALUE"""),1.0)</f>
        <v>1</v>
      </c>
      <c r="E33" s="5" t="str">
        <f>IFERROR(__xludf.DUMMYFUNCTION("""COMPUTED_VALUE"""),"女")</f>
        <v>女</v>
      </c>
      <c r="F33" s="5" t="str">
        <f>IFERROR(__xludf.DUMMYFUNCTION("""COMPUTED_VALUE"""),"WUF")</f>
        <v>WUF</v>
      </c>
      <c r="G33" s="5" t="str">
        <f>IFERROR(__xludf.DUMMYFUNCTION("""COMPUTED_VALUE"""),"○出場")</f>
        <v>○出場</v>
      </c>
      <c r="H33" s="5">
        <f>IFERROR(__xludf.DUMMYFUNCTION("""COMPUTED_VALUE"""),270248.0)</f>
        <v>270248</v>
      </c>
      <c r="I33" s="5" t="str">
        <f>IFERROR(__xludf.DUMMYFUNCTION("""COMPUTED_VALUE"""),"○参加する")</f>
        <v>○参加する</v>
      </c>
      <c r="J33" s="5"/>
      <c r="K33" s="12">
        <f t="shared" si="2"/>
        <v>1</v>
      </c>
    </row>
    <row r="34" ht="19.5" customHeight="1">
      <c r="A34" s="5">
        <f>IFERROR(__xludf.DUMMYFUNCTION("""COMPUTED_VALUE"""),330921.0)</f>
        <v>330921</v>
      </c>
      <c r="B34" s="5" t="str">
        <f>IFERROR(__xludf.DUMMYFUNCTION("""COMPUTED_VALUE"""),"田中 志歩")</f>
        <v>田中 志歩</v>
      </c>
      <c r="C34" s="5" t="str">
        <f>IFERROR(__xludf.DUMMYFUNCTION("""COMPUTED_VALUE"""),"たなか しほ")</f>
        <v>たなか しほ</v>
      </c>
      <c r="D34" s="5">
        <f>IFERROR(__xludf.DUMMYFUNCTION("""COMPUTED_VALUE"""),1.0)</f>
        <v>1</v>
      </c>
      <c r="E34" s="5" t="str">
        <f>IFERROR(__xludf.DUMMYFUNCTION("""COMPUTED_VALUE"""),"女")</f>
        <v>女</v>
      </c>
      <c r="F34" s="5" t="str">
        <f>IFERROR(__xludf.DUMMYFUNCTION("""COMPUTED_VALUE"""),"WUF")</f>
        <v>WUF</v>
      </c>
      <c r="G34" s="5" t="str">
        <f>IFERROR(__xludf.DUMMYFUNCTION("""COMPUTED_VALUE"""),"○出場")</f>
        <v>○出場</v>
      </c>
      <c r="H34" s="5">
        <f>IFERROR(__xludf.DUMMYFUNCTION("""COMPUTED_VALUE"""),270241.0)</f>
        <v>270241</v>
      </c>
      <c r="I34" s="5" t="str">
        <f>IFERROR(__xludf.DUMMYFUNCTION("""COMPUTED_VALUE"""),"○参加する")</f>
        <v>○参加する</v>
      </c>
      <c r="J34" s="5"/>
      <c r="K34" s="12">
        <f t="shared" si="2"/>
        <v>1</v>
      </c>
    </row>
    <row r="35" ht="19.5" customHeight="1">
      <c r="A35" s="5">
        <f>IFERROR(__xludf.DUMMYFUNCTION("""COMPUTED_VALUE"""),330922.0)</f>
        <v>330922</v>
      </c>
      <c r="B35" s="5" t="str">
        <f>IFERROR(__xludf.DUMMYFUNCTION("""COMPUTED_VALUE"""),"堀 美津季")</f>
        <v>堀 美津季</v>
      </c>
      <c r="C35" s="5" t="str">
        <f>IFERROR(__xludf.DUMMYFUNCTION("""COMPUTED_VALUE"""),"ほり みづき")</f>
        <v>ほり みづき</v>
      </c>
      <c r="D35" s="5">
        <f>IFERROR(__xludf.DUMMYFUNCTION("""COMPUTED_VALUE"""),1.0)</f>
        <v>1</v>
      </c>
      <c r="E35" s="5" t="str">
        <f>IFERROR(__xludf.DUMMYFUNCTION("""COMPUTED_VALUE"""),"女")</f>
        <v>女</v>
      </c>
      <c r="F35" s="5" t="str">
        <f>IFERROR(__xludf.DUMMYFUNCTION("""COMPUTED_VALUE"""),"×欠場")</f>
        <v>×欠場</v>
      </c>
      <c r="G35" s="5" t="str">
        <f>IFERROR(__xludf.DUMMYFUNCTION("""COMPUTED_VALUE"""),"×欠場")</f>
        <v>×欠場</v>
      </c>
      <c r="H35" s="5"/>
      <c r="I35" s="5" t="str">
        <f>IFERROR(__xludf.DUMMYFUNCTION("""COMPUTED_VALUE"""),"×参加しない")</f>
        <v>×参加しない</v>
      </c>
      <c r="J35" s="5"/>
      <c r="K35" s="12">
        <f t="shared" si="2"/>
        <v>0</v>
      </c>
    </row>
    <row r="36" ht="19.5" customHeight="1">
      <c r="A36" s="5">
        <f>IFERROR(__xludf.DUMMYFUNCTION("""COMPUTED_VALUE"""),330923.0)</f>
        <v>330923</v>
      </c>
      <c r="B36" s="5" t="str">
        <f>IFERROR(__xludf.DUMMYFUNCTION("""COMPUTED_VALUE"""),"山崎 美怜")</f>
        <v>山崎 美怜</v>
      </c>
      <c r="C36" s="5" t="str">
        <f>IFERROR(__xludf.DUMMYFUNCTION("""COMPUTED_VALUE"""),"やまざき みれい")</f>
        <v>やまざき みれい</v>
      </c>
      <c r="D36" s="5">
        <f>IFERROR(__xludf.DUMMYFUNCTION("""COMPUTED_VALUE"""),1.0)</f>
        <v>1</v>
      </c>
      <c r="E36" s="5" t="str">
        <f>IFERROR(__xludf.DUMMYFUNCTION("""COMPUTED_VALUE"""),"女")</f>
        <v>女</v>
      </c>
      <c r="F36" s="5" t="str">
        <f>IFERROR(__xludf.DUMMYFUNCTION("""COMPUTED_VALUE"""),"×欠場")</f>
        <v>×欠場</v>
      </c>
      <c r="G36" s="5" t="str">
        <f>IFERROR(__xludf.DUMMYFUNCTION("""COMPUTED_VALUE"""),"×欠場")</f>
        <v>×欠場</v>
      </c>
      <c r="H36" s="5"/>
      <c r="I36" s="5" t="str">
        <f>IFERROR(__xludf.DUMMYFUNCTION("""COMPUTED_VALUE"""),"×参加しない")</f>
        <v>×参加しない</v>
      </c>
      <c r="J36" s="5"/>
      <c r="K36" s="12">
        <f t="shared" si="2"/>
        <v>0</v>
      </c>
    </row>
    <row r="37" ht="19.5" customHeight="1">
      <c r="A37" s="5">
        <f>IFERROR(__xludf.DUMMYFUNCTION("""COMPUTED_VALUE"""),330924.0)</f>
        <v>330924</v>
      </c>
      <c r="B37" s="5" t="str">
        <f>IFERROR(__xludf.DUMMYFUNCTION("""COMPUTED_VALUE"""),"山村 真由")</f>
        <v>山村 真由</v>
      </c>
      <c r="C37" s="5" t="str">
        <f>IFERROR(__xludf.DUMMYFUNCTION("""COMPUTED_VALUE"""),"やまむら まゆ")</f>
        <v>やまむら まゆ</v>
      </c>
      <c r="D37" s="5">
        <f>IFERROR(__xludf.DUMMYFUNCTION("""COMPUTED_VALUE"""),1.0)</f>
        <v>1</v>
      </c>
      <c r="E37" s="5" t="str">
        <f>IFERROR(__xludf.DUMMYFUNCTION("""COMPUTED_VALUE"""),"女")</f>
        <v>女</v>
      </c>
      <c r="F37" s="5" t="str">
        <f>IFERROR(__xludf.DUMMYFUNCTION("""COMPUTED_VALUE"""),"×欠場")</f>
        <v>×欠場</v>
      </c>
      <c r="G37" s="5" t="str">
        <f>IFERROR(__xludf.DUMMYFUNCTION("""COMPUTED_VALUE"""),"×欠場")</f>
        <v>×欠場</v>
      </c>
      <c r="H37" s="5"/>
      <c r="I37" s="5" t="str">
        <f>IFERROR(__xludf.DUMMYFUNCTION("""COMPUTED_VALUE"""),"×参加しない")</f>
        <v>×参加しない</v>
      </c>
      <c r="J37" s="5"/>
      <c r="K37" s="12">
        <f t="shared" si="2"/>
        <v>0</v>
      </c>
    </row>
    <row r="38" ht="19.5" customHeight="1">
      <c r="A38" s="5">
        <f>IFERROR(__xludf.DUMMYFUNCTION("""COMPUTED_VALUE"""),330925.0)</f>
        <v>330925</v>
      </c>
      <c r="B38" s="5" t="str">
        <f>IFERROR(__xludf.DUMMYFUNCTION("""COMPUTED_VALUE"""),"渡邉 陽与")</f>
        <v>渡邉 陽与</v>
      </c>
      <c r="C38" s="5" t="str">
        <f>IFERROR(__xludf.DUMMYFUNCTION("""COMPUTED_VALUE"""),"わたなべ ひよ")</f>
        <v>わたなべ ひよ</v>
      </c>
      <c r="D38" s="5">
        <f>IFERROR(__xludf.DUMMYFUNCTION("""COMPUTED_VALUE"""),1.0)</f>
        <v>1</v>
      </c>
      <c r="E38" s="5" t="str">
        <f>IFERROR(__xludf.DUMMYFUNCTION("""COMPUTED_VALUE"""),"女")</f>
        <v>女</v>
      </c>
      <c r="F38" s="5" t="str">
        <f>IFERROR(__xludf.DUMMYFUNCTION("""COMPUTED_VALUE"""),"WUF")</f>
        <v>WUF</v>
      </c>
      <c r="G38" s="5" t="str">
        <f>IFERROR(__xludf.DUMMYFUNCTION("""COMPUTED_VALUE"""),"○出場")</f>
        <v>○出場</v>
      </c>
      <c r="H38" s="5"/>
      <c r="I38" s="5" t="str">
        <f>IFERROR(__xludf.DUMMYFUNCTION("""COMPUTED_VALUE"""),"○参加する")</f>
        <v>○参加する</v>
      </c>
      <c r="J38" s="5"/>
      <c r="K38" s="12">
        <f t="shared" si="2"/>
        <v>1</v>
      </c>
    </row>
    <row r="39" ht="19.5" customHeight="1">
      <c r="A39" s="5">
        <f>IFERROR(__xludf.DUMMYFUNCTION("""COMPUTED_VALUE"""),330926.0)</f>
        <v>330926</v>
      </c>
      <c r="B39" s="5" t="str">
        <f>IFERROR(__xludf.DUMMYFUNCTION("""COMPUTED_VALUE"""),"岩鼻 晃樹")</f>
        <v>岩鼻 晃樹</v>
      </c>
      <c r="C39" s="5" t="str">
        <f>IFERROR(__xludf.DUMMYFUNCTION("""COMPUTED_VALUE"""),"いわはな こうき")</f>
        <v>いわはな こうき</v>
      </c>
      <c r="D39" s="5">
        <f>IFERROR(__xludf.DUMMYFUNCTION("""COMPUTED_VALUE"""),1.0)</f>
        <v>1</v>
      </c>
      <c r="E39" s="5" t="str">
        <f>IFERROR(__xludf.DUMMYFUNCTION("""COMPUTED_VALUE"""),"男")</f>
        <v>男</v>
      </c>
      <c r="F39" s="5" t="str">
        <f>IFERROR(__xludf.DUMMYFUNCTION("""COMPUTED_VALUE"""),"×欠場")</f>
        <v>×欠場</v>
      </c>
      <c r="G39" s="5" t="str">
        <f>IFERROR(__xludf.DUMMYFUNCTION("""COMPUTED_VALUE"""),"×欠場")</f>
        <v>×欠場</v>
      </c>
      <c r="H39" s="5"/>
      <c r="I39" s="5" t="str">
        <f>IFERROR(__xludf.DUMMYFUNCTION("""COMPUTED_VALUE"""),"×参加しない")</f>
        <v>×参加しない</v>
      </c>
      <c r="J39" s="5"/>
      <c r="K39" s="12">
        <f t="shared" si="2"/>
        <v>0</v>
      </c>
    </row>
    <row r="40" ht="19.5" customHeight="1">
      <c r="A40" s="5">
        <f>IFERROR(__xludf.DUMMYFUNCTION("""COMPUTED_VALUE"""),330927.0)</f>
        <v>330927</v>
      </c>
      <c r="B40" s="5" t="str">
        <f>IFERROR(__xludf.DUMMYFUNCTION("""COMPUTED_VALUE"""),"安藤 祐輝")</f>
        <v>安藤 祐輝</v>
      </c>
      <c r="C40" s="5" t="str">
        <f>IFERROR(__xludf.DUMMYFUNCTION("""COMPUTED_VALUE"""),"あんどう ゆうき")</f>
        <v>あんどう ゆうき</v>
      </c>
      <c r="D40" s="5">
        <f>IFERROR(__xludf.DUMMYFUNCTION("""COMPUTED_VALUE"""),1.0)</f>
        <v>1</v>
      </c>
      <c r="E40" s="5" t="str">
        <f>IFERROR(__xludf.DUMMYFUNCTION("""COMPUTED_VALUE"""),"男")</f>
        <v>男</v>
      </c>
      <c r="F40" s="5" t="str">
        <f>IFERROR(__xludf.DUMMYFUNCTION("""COMPUTED_VALUE"""),"×欠場")</f>
        <v>×欠場</v>
      </c>
      <c r="G40" s="5" t="str">
        <f>IFERROR(__xludf.DUMMYFUNCTION("""COMPUTED_VALUE"""),"×欠場")</f>
        <v>×欠場</v>
      </c>
      <c r="H40" s="5"/>
      <c r="I40" s="5" t="str">
        <f>IFERROR(__xludf.DUMMYFUNCTION("""COMPUTED_VALUE"""),"×参加しない")</f>
        <v>×参加しない</v>
      </c>
      <c r="J40" s="5"/>
      <c r="K40" s="12">
        <f t="shared" si="2"/>
        <v>0</v>
      </c>
    </row>
    <row r="41" ht="19.5" customHeight="1">
      <c r="A41" s="5">
        <f>IFERROR(__xludf.DUMMYFUNCTION("""COMPUTED_VALUE"""),330928.0)</f>
        <v>330928</v>
      </c>
      <c r="B41" s="5" t="str">
        <f>IFERROR(__xludf.DUMMYFUNCTION("""COMPUTED_VALUE"""),"原田 晴司")</f>
        <v>原田 晴司</v>
      </c>
      <c r="C41" s="5" t="str">
        <f>IFERROR(__xludf.DUMMYFUNCTION("""COMPUTED_VALUE"""),"はらだ せいじ")</f>
        <v>はらだ せいじ</v>
      </c>
      <c r="D41" s="5">
        <f>IFERROR(__xludf.DUMMYFUNCTION("""COMPUTED_VALUE"""),1.0)</f>
        <v>1</v>
      </c>
      <c r="E41" s="5" t="str">
        <f>IFERROR(__xludf.DUMMYFUNCTION("""COMPUTED_VALUE"""),"男")</f>
        <v>男</v>
      </c>
      <c r="F41" s="5" t="str">
        <f>IFERROR(__xludf.DUMMYFUNCTION("""COMPUTED_VALUE"""),"×欠場")</f>
        <v>×欠場</v>
      </c>
      <c r="G41" s="5" t="str">
        <f>IFERROR(__xludf.DUMMYFUNCTION("""COMPUTED_VALUE"""),"×欠場")</f>
        <v>×欠場</v>
      </c>
      <c r="H41" s="5"/>
      <c r="I41" s="5" t="str">
        <f>IFERROR(__xludf.DUMMYFUNCTION("""COMPUTED_VALUE"""),"×参加しない")</f>
        <v>×参加しない</v>
      </c>
      <c r="J41" s="5"/>
      <c r="K41" s="12">
        <f t="shared" si="2"/>
        <v>0</v>
      </c>
    </row>
    <row r="42" ht="19.5" customHeight="1">
      <c r="A42" s="5">
        <f>IFERROR(__xludf.DUMMYFUNCTION("""COMPUTED_VALUE"""),330929.0)</f>
        <v>330929</v>
      </c>
      <c r="B42" s="5" t="str">
        <f>IFERROR(__xludf.DUMMYFUNCTION("""COMPUTED_VALUE"""),"湯地 晶子")</f>
        <v>湯地 晶子</v>
      </c>
      <c r="C42" s="5" t="str">
        <f>IFERROR(__xludf.DUMMYFUNCTION("""COMPUTED_VALUE"""),"ゆじ あきこ")</f>
        <v>ゆじ あきこ</v>
      </c>
      <c r="D42" s="5">
        <f>IFERROR(__xludf.DUMMYFUNCTION("""COMPUTED_VALUE"""),1.0)</f>
        <v>1</v>
      </c>
      <c r="E42" s="5" t="str">
        <f>IFERROR(__xludf.DUMMYFUNCTION("""COMPUTED_VALUE"""),"女")</f>
        <v>女</v>
      </c>
      <c r="F42" s="5" t="str">
        <f>IFERROR(__xludf.DUMMYFUNCTION("""COMPUTED_VALUE"""),"WUF")</f>
        <v>WUF</v>
      </c>
      <c r="G42" s="5" t="str">
        <f>IFERROR(__xludf.DUMMYFUNCTION("""COMPUTED_VALUE"""),"○出場")</f>
        <v>○出場</v>
      </c>
      <c r="H42" s="5">
        <f>IFERROR(__xludf.DUMMYFUNCTION("""COMPUTED_VALUE"""),270250.0)</f>
        <v>270250</v>
      </c>
      <c r="I42" s="5" t="str">
        <f>IFERROR(__xludf.DUMMYFUNCTION("""COMPUTED_VALUE"""),"○参加する")</f>
        <v>○参加する</v>
      </c>
      <c r="J42" s="5"/>
      <c r="K42" s="12">
        <f t="shared" si="2"/>
        <v>1</v>
      </c>
    </row>
    <row r="43" ht="19.5" customHeight="1">
      <c r="A43" s="5">
        <f>IFERROR(__xludf.DUMMYFUNCTION("""COMPUTED_VALUE"""),230902.0)</f>
        <v>230902</v>
      </c>
      <c r="B43" s="5" t="str">
        <f>IFERROR(__xludf.DUMMYFUNCTION("""COMPUTED_VALUE"""),"石川　翔太")</f>
        <v>石川　翔太</v>
      </c>
      <c r="C43" s="5" t="str">
        <f>IFERROR(__xludf.DUMMYFUNCTION("""COMPUTED_VALUE"""),"いしかわ　しょうた")</f>
        <v>いしかわ　しょうた</v>
      </c>
      <c r="D43" s="5">
        <f>IFERROR(__xludf.DUMMYFUNCTION("""COMPUTED_VALUE"""),2.0)</f>
        <v>2</v>
      </c>
      <c r="E43" s="5" t="str">
        <f>IFERROR(__xludf.DUMMYFUNCTION("""COMPUTED_VALUE"""),"男")</f>
        <v>男</v>
      </c>
      <c r="F43" s="5" t="str">
        <f>IFERROR(__xludf.DUMMYFUNCTION("""COMPUTED_VALUE"""),"MUA")</f>
        <v>MUA</v>
      </c>
      <c r="G43" s="5" t="str">
        <f>IFERROR(__xludf.DUMMYFUNCTION("""COMPUTED_VALUE"""),"○出場")</f>
        <v>○出場</v>
      </c>
      <c r="H43" s="5"/>
      <c r="I43" s="5" t="str">
        <f>IFERROR(__xludf.DUMMYFUNCTION("""COMPUTED_VALUE"""),"○参加する")</f>
        <v>○参加する</v>
      </c>
      <c r="J43" s="5"/>
      <c r="K43" s="12">
        <f t="shared" si="2"/>
        <v>1</v>
      </c>
    </row>
    <row r="44" ht="19.5" customHeight="1">
      <c r="A44" s="5">
        <f>IFERROR(__xludf.DUMMYFUNCTION("""COMPUTED_VALUE"""),230903.0)</f>
        <v>230903</v>
      </c>
      <c r="B44" s="5" t="str">
        <f>IFERROR(__xludf.DUMMYFUNCTION("""COMPUTED_VALUE"""),"井村 真岳")</f>
        <v>井村 真岳</v>
      </c>
      <c r="C44" s="5" t="str">
        <f>IFERROR(__xludf.DUMMYFUNCTION("""COMPUTED_VALUE"""),"いむら　まさたけ")</f>
        <v>いむら　まさたけ</v>
      </c>
      <c r="D44" s="5">
        <f>IFERROR(__xludf.DUMMYFUNCTION("""COMPUTED_VALUE"""),2.0)</f>
        <v>2</v>
      </c>
      <c r="E44" s="5" t="str">
        <f>IFERROR(__xludf.DUMMYFUNCTION("""COMPUTED_VALUE"""),"男")</f>
        <v>男</v>
      </c>
      <c r="F44" s="5" t="str">
        <f>IFERROR(__xludf.DUMMYFUNCTION("""COMPUTED_VALUE"""),"×欠場")</f>
        <v>×欠場</v>
      </c>
      <c r="G44" s="5" t="str">
        <f>IFERROR(__xludf.DUMMYFUNCTION("""COMPUTED_VALUE"""),"×欠場")</f>
        <v>×欠場</v>
      </c>
      <c r="H44" s="5"/>
      <c r="I44" s="5" t="str">
        <f>IFERROR(__xludf.DUMMYFUNCTION("""COMPUTED_VALUE"""),"×参加しない")</f>
        <v>×参加しない</v>
      </c>
      <c r="J44" s="5"/>
      <c r="K44" s="12">
        <f t="shared" si="2"/>
        <v>0</v>
      </c>
    </row>
    <row r="45" ht="19.5" customHeight="1">
      <c r="A45" s="5">
        <f>IFERROR(__xludf.DUMMYFUNCTION("""COMPUTED_VALUE"""),230906.0)</f>
        <v>230906</v>
      </c>
      <c r="B45" s="5" t="str">
        <f>IFERROR(__xludf.DUMMYFUNCTION("""COMPUTED_VALUE"""),"木戸　友仁")</f>
        <v>木戸　友仁</v>
      </c>
      <c r="C45" s="5" t="str">
        <f>IFERROR(__xludf.DUMMYFUNCTION("""COMPUTED_VALUE"""),"きど　ゆうじん")</f>
        <v>きど　ゆうじん</v>
      </c>
      <c r="D45" s="5">
        <f>IFERROR(__xludf.DUMMYFUNCTION("""COMPUTED_VALUE"""),2.0)</f>
        <v>2</v>
      </c>
      <c r="E45" s="5" t="str">
        <f>IFERROR(__xludf.DUMMYFUNCTION("""COMPUTED_VALUE"""),"男")</f>
        <v>男</v>
      </c>
      <c r="F45" s="5" t="str">
        <f>IFERROR(__xludf.DUMMYFUNCTION("""COMPUTED_VALUE"""),"×欠場")</f>
        <v>×欠場</v>
      </c>
      <c r="G45" s="5" t="str">
        <f>IFERROR(__xludf.DUMMYFUNCTION("""COMPUTED_VALUE"""),"×欠場")</f>
        <v>×欠場</v>
      </c>
      <c r="H45" s="5"/>
      <c r="I45" s="5" t="str">
        <f>IFERROR(__xludf.DUMMYFUNCTION("""COMPUTED_VALUE"""),"×参加しない")</f>
        <v>×参加しない</v>
      </c>
      <c r="J45" s="5"/>
      <c r="K45" s="12">
        <f t="shared" si="2"/>
        <v>0</v>
      </c>
    </row>
    <row r="46" ht="19.5" customHeight="1">
      <c r="A46" s="5">
        <f>IFERROR(__xludf.DUMMYFUNCTION("""COMPUTED_VALUE"""),230907.0)</f>
        <v>230907</v>
      </c>
      <c r="B46" s="5" t="str">
        <f>IFERROR(__xludf.DUMMYFUNCTION("""COMPUTED_VALUE"""),"栗田　稜也")</f>
        <v>栗田　稜也</v>
      </c>
      <c r="C46" s="5" t="str">
        <f>IFERROR(__xludf.DUMMYFUNCTION("""COMPUTED_VALUE"""),"くりた　たかや")</f>
        <v>くりた　たかや</v>
      </c>
      <c r="D46" s="5">
        <f>IFERROR(__xludf.DUMMYFUNCTION("""COMPUTED_VALUE"""),2.0)</f>
        <v>2</v>
      </c>
      <c r="E46" s="5" t="str">
        <f>IFERROR(__xludf.DUMMYFUNCTION("""COMPUTED_VALUE"""),"男")</f>
        <v>男</v>
      </c>
      <c r="F46" s="5" t="str">
        <f>IFERROR(__xludf.DUMMYFUNCTION("""COMPUTED_VALUE"""),"MUA")</f>
        <v>MUA</v>
      </c>
      <c r="G46" s="5" t="str">
        <f>IFERROR(__xludf.DUMMYFUNCTION("""COMPUTED_VALUE"""),"○出場")</f>
        <v>○出場</v>
      </c>
      <c r="H46" s="5">
        <f>IFERROR(__xludf.DUMMYFUNCTION("""COMPUTED_VALUE"""),261192.0)</f>
        <v>261192</v>
      </c>
      <c r="I46" s="5" t="str">
        <f>IFERROR(__xludf.DUMMYFUNCTION("""COMPUTED_VALUE"""),"○参加する")</f>
        <v>○参加する</v>
      </c>
      <c r="J46" s="5"/>
      <c r="K46" s="12">
        <f t="shared" si="2"/>
        <v>1</v>
      </c>
    </row>
    <row r="47" ht="19.5" customHeight="1">
      <c r="A47" s="5">
        <f>IFERROR(__xludf.DUMMYFUNCTION("""COMPUTED_VALUE"""),230912.0)</f>
        <v>230912</v>
      </c>
      <c r="B47" s="5" t="str">
        <f>IFERROR(__xludf.DUMMYFUNCTION("""COMPUTED_VALUE"""),"本間　皓大")</f>
        <v>本間　皓大</v>
      </c>
      <c r="C47" s="5" t="str">
        <f>IFERROR(__xludf.DUMMYFUNCTION("""COMPUTED_VALUE"""),"ほんま　こうた")</f>
        <v>ほんま　こうた</v>
      </c>
      <c r="D47" s="5">
        <f>IFERROR(__xludf.DUMMYFUNCTION("""COMPUTED_VALUE"""),2.0)</f>
        <v>2</v>
      </c>
      <c r="E47" s="5" t="str">
        <f>IFERROR(__xludf.DUMMYFUNCTION("""COMPUTED_VALUE"""),"男")</f>
        <v>男</v>
      </c>
      <c r="F47" s="5" t="str">
        <f>IFERROR(__xludf.DUMMYFUNCTION("""COMPUTED_VALUE"""),"×欠場")</f>
        <v>×欠場</v>
      </c>
      <c r="G47" s="5" t="str">
        <f>IFERROR(__xludf.DUMMYFUNCTION("""COMPUTED_VALUE"""),"×欠場")</f>
        <v>×欠場</v>
      </c>
      <c r="H47" s="5"/>
      <c r="I47" s="5" t="str">
        <f>IFERROR(__xludf.DUMMYFUNCTION("""COMPUTED_VALUE"""),"×参加しない")</f>
        <v>×参加しない</v>
      </c>
      <c r="J47" s="5"/>
      <c r="K47" s="12">
        <f t="shared" si="2"/>
        <v>0</v>
      </c>
    </row>
    <row r="48" ht="19.5" customHeight="1">
      <c r="A48" s="5">
        <f>IFERROR(__xludf.DUMMYFUNCTION("""COMPUTED_VALUE"""),230914.0)</f>
        <v>230914</v>
      </c>
      <c r="B48" s="5" t="str">
        <f>IFERROR(__xludf.DUMMYFUNCTION("""COMPUTED_VALUE"""),"山口　颯大")</f>
        <v>山口　颯大</v>
      </c>
      <c r="C48" s="5" t="str">
        <f>IFERROR(__xludf.DUMMYFUNCTION("""COMPUTED_VALUE"""),"やまぐち　はやと")</f>
        <v>やまぐち　はやと</v>
      </c>
      <c r="D48" s="5">
        <f>IFERROR(__xludf.DUMMYFUNCTION("""COMPUTED_VALUE"""),2.0)</f>
        <v>2</v>
      </c>
      <c r="E48" s="5" t="str">
        <f>IFERROR(__xludf.DUMMYFUNCTION("""COMPUTED_VALUE"""),"男")</f>
        <v>男</v>
      </c>
      <c r="F48" s="5" t="str">
        <f>IFERROR(__xludf.DUMMYFUNCTION("""COMPUTED_VALUE"""),"MUA")</f>
        <v>MUA</v>
      </c>
      <c r="G48" s="5" t="str">
        <f>IFERROR(__xludf.DUMMYFUNCTION("""COMPUTED_VALUE"""),"○出場")</f>
        <v>○出場</v>
      </c>
      <c r="H48" s="5">
        <f>IFERROR(__xludf.DUMMYFUNCTION("""COMPUTED_VALUE"""),265854.0)</f>
        <v>265854</v>
      </c>
      <c r="I48" s="5" t="str">
        <f>IFERROR(__xludf.DUMMYFUNCTION("""COMPUTED_VALUE"""),"○参加する")</f>
        <v>○参加する</v>
      </c>
      <c r="J48" s="5"/>
      <c r="K48" s="12">
        <f t="shared" si="2"/>
        <v>1</v>
      </c>
    </row>
    <row r="49" ht="19.5" customHeight="1">
      <c r="A49" s="5">
        <f>IFERROR(__xludf.DUMMYFUNCTION("""COMPUTED_VALUE"""),230915.0)</f>
        <v>230915</v>
      </c>
      <c r="B49" s="5" t="str">
        <f>IFERROR(__xludf.DUMMYFUNCTION("""COMPUTED_VALUE"""),"吉田　聖悟")</f>
        <v>吉田　聖悟</v>
      </c>
      <c r="C49" s="5" t="str">
        <f>IFERROR(__xludf.DUMMYFUNCTION("""COMPUTED_VALUE"""),"よしだ　せいご")</f>
        <v>よしだ　せいご</v>
      </c>
      <c r="D49" s="5">
        <f>IFERROR(__xludf.DUMMYFUNCTION("""COMPUTED_VALUE"""),2.0)</f>
        <v>2</v>
      </c>
      <c r="E49" s="5" t="str">
        <f>IFERROR(__xludf.DUMMYFUNCTION("""COMPUTED_VALUE"""),"男")</f>
        <v>男</v>
      </c>
      <c r="F49" s="5" t="str">
        <f>IFERROR(__xludf.DUMMYFUNCTION("""COMPUTED_VALUE"""),"MUA")</f>
        <v>MUA</v>
      </c>
      <c r="G49" s="5" t="str">
        <f>IFERROR(__xludf.DUMMYFUNCTION("""COMPUTED_VALUE"""),"○出場")</f>
        <v>○出場</v>
      </c>
      <c r="H49" s="5">
        <f>IFERROR(__xludf.DUMMYFUNCTION("""COMPUTED_VALUE"""),265843.0)</f>
        <v>265843</v>
      </c>
      <c r="I49" s="5" t="str">
        <f>IFERROR(__xludf.DUMMYFUNCTION("""COMPUTED_VALUE"""),"○参加する")</f>
        <v>○参加する</v>
      </c>
      <c r="J49" s="5"/>
      <c r="K49" s="12">
        <f t="shared" si="2"/>
        <v>1</v>
      </c>
    </row>
    <row r="50" ht="19.5" customHeight="1">
      <c r="A50" s="5">
        <f>IFERROR(__xludf.DUMMYFUNCTION("""COMPUTED_VALUE"""),230917.0)</f>
        <v>230917</v>
      </c>
      <c r="B50" s="5" t="str">
        <f>IFERROR(__xludf.DUMMYFUNCTION("""COMPUTED_VALUE"""),"佐々木　奏太郎")</f>
        <v>佐々木　奏太郎</v>
      </c>
      <c r="C50" s="5" t="str">
        <f>IFERROR(__xludf.DUMMYFUNCTION("""COMPUTED_VALUE"""),"ささき　そうたろう")</f>
        <v>ささき　そうたろう</v>
      </c>
      <c r="D50" s="5">
        <f>IFERROR(__xludf.DUMMYFUNCTION("""COMPUTED_VALUE"""),2.0)</f>
        <v>2</v>
      </c>
      <c r="E50" s="5" t="str">
        <f>IFERROR(__xludf.DUMMYFUNCTION("""COMPUTED_VALUE"""),"男")</f>
        <v>男</v>
      </c>
      <c r="F50" s="5" t="str">
        <f>IFERROR(__xludf.DUMMYFUNCTION("""COMPUTED_VALUE"""),"×欠場")</f>
        <v>×欠場</v>
      </c>
      <c r="G50" s="5" t="str">
        <f>IFERROR(__xludf.DUMMYFUNCTION("""COMPUTED_VALUE"""),"×欠場")</f>
        <v>×欠場</v>
      </c>
      <c r="H50" s="5"/>
      <c r="I50" s="5" t="str">
        <f>IFERROR(__xludf.DUMMYFUNCTION("""COMPUTED_VALUE"""),"×参加しない")</f>
        <v>×参加しない</v>
      </c>
      <c r="J50" s="5"/>
      <c r="K50" s="12">
        <f t="shared" si="2"/>
        <v>0</v>
      </c>
    </row>
    <row r="51" ht="19.5" customHeight="1">
      <c r="A51" s="5">
        <f>IFERROR(__xludf.DUMMYFUNCTION("""COMPUTED_VALUE"""),230918.0)</f>
        <v>230918</v>
      </c>
      <c r="B51" s="5" t="str">
        <f>IFERROR(__xludf.DUMMYFUNCTION("""COMPUTED_VALUE"""),"小野山　航")</f>
        <v>小野山　航</v>
      </c>
      <c r="C51" s="5" t="str">
        <f>IFERROR(__xludf.DUMMYFUNCTION("""COMPUTED_VALUE"""),"おのやま　こう")</f>
        <v>おのやま　こう</v>
      </c>
      <c r="D51" s="5">
        <f>IFERROR(__xludf.DUMMYFUNCTION("""COMPUTED_VALUE"""),2.0)</f>
        <v>2</v>
      </c>
      <c r="E51" s="5" t="str">
        <f>IFERROR(__xludf.DUMMYFUNCTION("""COMPUTED_VALUE"""),"男")</f>
        <v>男</v>
      </c>
      <c r="F51" s="5" t="str">
        <f>IFERROR(__xludf.DUMMYFUNCTION("""COMPUTED_VALUE"""),"MUA")</f>
        <v>MUA</v>
      </c>
      <c r="G51" s="5" t="str">
        <f>IFERROR(__xludf.DUMMYFUNCTION("""COMPUTED_VALUE"""),"○出場")</f>
        <v>○出場</v>
      </c>
      <c r="H51" s="5"/>
      <c r="I51" s="5" t="str">
        <f>IFERROR(__xludf.DUMMYFUNCTION("""COMPUTED_VALUE"""),"○参加する")</f>
        <v>○参加する</v>
      </c>
      <c r="J51" s="5"/>
      <c r="K51" s="12">
        <f t="shared" si="2"/>
        <v>1</v>
      </c>
    </row>
    <row r="52" ht="19.5" customHeight="1">
      <c r="A52" s="5">
        <f>IFERROR(__xludf.DUMMYFUNCTION("""COMPUTED_VALUE"""),230922.0)</f>
        <v>230922</v>
      </c>
      <c r="B52" s="5" t="str">
        <f>IFERROR(__xludf.DUMMYFUNCTION("""COMPUTED_VALUE"""),"小寺　智樹")</f>
        <v>小寺　智樹</v>
      </c>
      <c r="C52" s="5" t="str">
        <f>IFERROR(__xludf.DUMMYFUNCTION("""COMPUTED_VALUE"""),"こでら　ともき")</f>
        <v>こでら　ともき</v>
      </c>
      <c r="D52" s="5">
        <f>IFERROR(__xludf.DUMMYFUNCTION("""COMPUTED_VALUE"""),2.0)</f>
        <v>2</v>
      </c>
      <c r="E52" s="5" t="str">
        <f>IFERROR(__xludf.DUMMYFUNCTION("""COMPUTED_VALUE"""),"男")</f>
        <v>男</v>
      </c>
      <c r="F52" s="5" t="str">
        <f>IFERROR(__xludf.DUMMYFUNCTION("""COMPUTED_VALUE"""),"MUA")</f>
        <v>MUA</v>
      </c>
      <c r="G52" s="5" t="str">
        <f>IFERROR(__xludf.DUMMYFUNCTION("""COMPUTED_VALUE"""),"○出場")</f>
        <v>○出場</v>
      </c>
      <c r="H52" s="5"/>
      <c r="I52" s="5" t="str">
        <f>IFERROR(__xludf.DUMMYFUNCTION("""COMPUTED_VALUE"""),"○参加する")</f>
        <v>○参加する</v>
      </c>
      <c r="J52" s="5"/>
      <c r="K52" s="12">
        <f t="shared" si="2"/>
        <v>1</v>
      </c>
    </row>
    <row r="53" ht="19.5" customHeight="1">
      <c r="A53" s="5">
        <f>IFERROR(__xludf.DUMMYFUNCTION("""COMPUTED_VALUE"""),230923.0)</f>
        <v>230923</v>
      </c>
      <c r="B53" s="5" t="str">
        <f>IFERROR(__xludf.DUMMYFUNCTION("""COMPUTED_VALUE"""),"遠藤浩明")</f>
        <v>遠藤浩明</v>
      </c>
      <c r="C53" s="5" t="str">
        <f>IFERROR(__xludf.DUMMYFUNCTION("""COMPUTED_VALUE"""),"えんどうひろあき")</f>
        <v>えんどうひろあき</v>
      </c>
      <c r="D53" s="5">
        <f>IFERROR(__xludf.DUMMYFUNCTION("""COMPUTED_VALUE"""),2.0)</f>
        <v>2</v>
      </c>
      <c r="E53" s="5" t="str">
        <f>IFERROR(__xludf.DUMMYFUNCTION("""COMPUTED_VALUE"""),"男")</f>
        <v>男</v>
      </c>
      <c r="F53" s="5" t="str">
        <f>IFERROR(__xludf.DUMMYFUNCTION("""COMPUTED_VALUE"""),"×欠場")</f>
        <v>×欠場</v>
      </c>
      <c r="G53" s="5" t="str">
        <f>IFERROR(__xludf.DUMMYFUNCTION("""COMPUTED_VALUE"""),"×欠場")</f>
        <v>×欠場</v>
      </c>
      <c r="H53" s="5"/>
      <c r="I53" s="5" t="str">
        <f>IFERROR(__xludf.DUMMYFUNCTION("""COMPUTED_VALUE"""),"×参加しない")</f>
        <v>×参加しない</v>
      </c>
      <c r="J53" s="5"/>
      <c r="K53" s="12">
        <f t="shared" si="2"/>
        <v>0</v>
      </c>
    </row>
    <row r="54" ht="19.5" customHeight="1">
      <c r="A54" s="5">
        <f>IFERROR(__xludf.DUMMYFUNCTION("""COMPUTED_VALUE"""),130901.0)</f>
        <v>130901</v>
      </c>
      <c r="B54" s="5" t="str">
        <f>IFERROR(__xludf.DUMMYFUNCTION("""COMPUTED_VALUE"""),"折橋　旺")</f>
        <v>折橋　旺</v>
      </c>
      <c r="C54" s="5" t="str">
        <f>IFERROR(__xludf.DUMMYFUNCTION("""COMPUTED_VALUE"""),"おりはし　おう")</f>
        <v>おりはし　おう</v>
      </c>
      <c r="D54" s="5">
        <f>IFERROR(__xludf.DUMMYFUNCTION("""COMPUTED_VALUE"""),3.0)</f>
        <v>3</v>
      </c>
      <c r="E54" s="5" t="str">
        <f>IFERROR(__xludf.DUMMYFUNCTION("""COMPUTED_VALUE"""),"男")</f>
        <v>男</v>
      </c>
      <c r="F54" s="5" t="str">
        <f>IFERROR(__xludf.DUMMYFUNCTION("""COMPUTED_VALUE"""),"MUA")</f>
        <v>MUA</v>
      </c>
      <c r="G54" s="5" t="str">
        <f>IFERROR(__xludf.DUMMYFUNCTION("""COMPUTED_VALUE"""),"○出場")</f>
        <v>○出場</v>
      </c>
      <c r="H54" s="5">
        <f>IFERROR(__xludf.DUMMYFUNCTION("""COMPUTED_VALUE"""),257856.0)</f>
        <v>257856</v>
      </c>
      <c r="I54" s="5" t="str">
        <f>IFERROR(__xludf.DUMMYFUNCTION("""COMPUTED_VALUE"""),"○参加する")</f>
        <v>○参加する</v>
      </c>
      <c r="J54" s="5"/>
      <c r="K54" s="12">
        <f t="shared" si="2"/>
        <v>1</v>
      </c>
    </row>
    <row r="55" ht="19.5" customHeight="1">
      <c r="A55" s="5">
        <f>IFERROR(__xludf.DUMMYFUNCTION("""COMPUTED_VALUE"""),130902.0)</f>
        <v>130902</v>
      </c>
      <c r="B55" s="5" t="str">
        <f>IFERROR(__xludf.DUMMYFUNCTION("""COMPUTED_VALUE"""),"岸　隼平")</f>
        <v>岸　隼平</v>
      </c>
      <c r="C55" s="5" t="str">
        <f>IFERROR(__xludf.DUMMYFUNCTION("""COMPUTED_VALUE"""),"きし　じゅんぺい")</f>
        <v>きし　じゅんぺい</v>
      </c>
      <c r="D55" s="5">
        <f>IFERROR(__xludf.DUMMYFUNCTION("""COMPUTED_VALUE"""),3.0)</f>
        <v>3</v>
      </c>
      <c r="E55" s="5" t="str">
        <f>IFERROR(__xludf.DUMMYFUNCTION("""COMPUTED_VALUE"""),"男")</f>
        <v>男</v>
      </c>
      <c r="F55" s="5" t="str">
        <f>IFERROR(__xludf.DUMMYFUNCTION("""COMPUTED_VALUE"""),"×欠場")</f>
        <v>×欠場</v>
      </c>
      <c r="G55" s="5" t="str">
        <f>IFERROR(__xludf.DUMMYFUNCTION("""COMPUTED_VALUE"""),"×欠場")</f>
        <v>×欠場</v>
      </c>
      <c r="H55" s="5"/>
      <c r="I55" s="5" t="str">
        <f>IFERROR(__xludf.DUMMYFUNCTION("""COMPUTED_VALUE"""),"×参加しない")</f>
        <v>×参加しない</v>
      </c>
      <c r="J55" s="5"/>
      <c r="K55" s="12">
        <f t="shared" si="2"/>
        <v>0</v>
      </c>
    </row>
    <row r="56" ht="19.5" customHeight="1">
      <c r="A56" s="5">
        <f>IFERROR(__xludf.DUMMYFUNCTION("""COMPUTED_VALUE"""),130903.0)</f>
        <v>130903</v>
      </c>
      <c r="B56" s="5" t="str">
        <f>IFERROR(__xludf.DUMMYFUNCTION("""COMPUTED_VALUE"""),"佐藤　諒平")</f>
        <v>佐藤　諒平</v>
      </c>
      <c r="C56" s="5" t="str">
        <f>IFERROR(__xludf.DUMMYFUNCTION("""COMPUTED_VALUE"""),"さとう　りょうへい")</f>
        <v>さとう　りょうへい</v>
      </c>
      <c r="D56" s="5">
        <f>IFERROR(__xludf.DUMMYFUNCTION("""COMPUTED_VALUE"""),3.0)</f>
        <v>3</v>
      </c>
      <c r="E56" s="5" t="str">
        <f>IFERROR(__xludf.DUMMYFUNCTION("""COMPUTED_VALUE"""),"男")</f>
        <v>男</v>
      </c>
      <c r="F56" s="5" t="str">
        <f>IFERROR(__xludf.DUMMYFUNCTION("""COMPUTED_VALUE"""),"MUA")</f>
        <v>MUA</v>
      </c>
      <c r="G56" s="5" t="str">
        <f>IFERROR(__xludf.DUMMYFUNCTION("""COMPUTED_VALUE"""),"○出場")</f>
        <v>○出場</v>
      </c>
      <c r="H56" s="5">
        <f>IFERROR(__xludf.DUMMYFUNCTION("""COMPUTED_VALUE"""),257859.0)</f>
        <v>257859</v>
      </c>
      <c r="I56" s="5" t="str">
        <f>IFERROR(__xludf.DUMMYFUNCTION("""COMPUTED_VALUE"""),"○参加する")</f>
        <v>○参加する</v>
      </c>
      <c r="J56" s="5"/>
      <c r="K56" s="12">
        <f t="shared" si="2"/>
        <v>1</v>
      </c>
    </row>
    <row r="57" ht="19.5" customHeight="1">
      <c r="A57" s="5">
        <f>IFERROR(__xludf.DUMMYFUNCTION("""COMPUTED_VALUE"""),130904.0)</f>
        <v>130904</v>
      </c>
      <c r="B57" s="5" t="str">
        <f>IFERROR(__xludf.DUMMYFUNCTION("""COMPUTED_VALUE"""),"久保木　航")</f>
        <v>久保木　航</v>
      </c>
      <c r="C57" s="5" t="str">
        <f>IFERROR(__xludf.DUMMYFUNCTION("""COMPUTED_VALUE"""),"くぼき　わたる")</f>
        <v>くぼき　わたる</v>
      </c>
      <c r="D57" s="5">
        <f>IFERROR(__xludf.DUMMYFUNCTION("""COMPUTED_VALUE"""),3.0)</f>
        <v>3</v>
      </c>
      <c r="E57" s="5" t="str">
        <f>IFERROR(__xludf.DUMMYFUNCTION("""COMPUTED_VALUE"""),"男")</f>
        <v>男</v>
      </c>
      <c r="F57" s="5" t="str">
        <f>IFERROR(__xludf.DUMMYFUNCTION("""COMPUTED_VALUE"""),"MUA")</f>
        <v>MUA</v>
      </c>
      <c r="G57" s="5" t="str">
        <f>IFERROR(__xludf.DUMMYFUNCTION("""COMPUTED_VALUE"""),"○出場")</f>
        <v>○出場</v>
      </c>
      <c r="H57" s="5">
        <f>IFERROR(__xludf.DUMMYFUNCTION("""COMPUTED_VALUE"""),257858.0)</f>
        <v>257858</v>
      </c>
      <c r="I57" s="5" t="str">
        <f>IFERROR(__xludf.DUMMYFUNCTION("""COMPUTED_VALUE"""),"○参加する")</f>
        <v>○参加する</v>
      </c>
      <c r="J57" s="5"/>
      <c r="K57" s="12">
        <f t="shared" si="2"/>
        <v>1</v>
      </c>
    </row>
    <row r="58" ht="19.5" customHeight="1">
      <c r="A58" s="5">
        <f>IFERROR(__xludf.DUMMYFUNCTION("""COMPUTED_VALUE"""),130906.0)</f>
        <v>130906</v>
      </c>
      <c r="B58" s="5" t="str">
        <f>IFERROR(__xludf.DUMMYFUNCTION("""COMPUTED_VALUE"""),"遠藤　陽太")</f>
        <v>遠藤　陽太</v>
      </c>
      <c r="C58" s="5" t="str">
        <f>IFERROR(__xludf.DUMMYFUNCTION("""COMPUTED_VALUE"""),"えんどう　ようた")</f>
        <v>えんどう　ようた</v>
      </c>
      <c r="D58" s="5">
        <f>IFERROR(__xludf.DUMMYFUNCTION("""COMPUTED_VALUE"""),3.0)</f>
        <v>3</v>
      </c>
      <c r="E58" s="5" t="str">
        <f>IFERROR(__xludf.DUMMYFUNCTION("""COMPUTED_VALUE"""),"男")</f>
        <v>男</v>
      </c>
      <c r="F58" s="5" t="str">
        <f>IFERROR(__xludf.DUMMYFUNCTION("""COMPUTED_VALUE"""),"MUA")</f>
        <v>MUA</v>
      </c>
      <c r="G58" s="5" t="str">
        <f>IFERROR(__xludf.DUMMYFUNCTION("""COMPUTED_VALUE"""),"○出場")</f>
        <v>○出場</v>
      </c>
      <c r="H58" s="5">
        <f>IFERROR(__xludf.DUMMYFUNCTION("""COMPUTED_VALUE"""),261187.0)</f>
        <v>261187</v>
      </c>
      <c r="I58" s="5" t="str">
        <f>IFERROR(__xludf.DUMMYFUNCTION("""COMPUTED_VALUE"""),"○参加する")</f>
        <v>○参加する</v>
      </c>
      <c r="J58" s="5"/>
      <c r="K58" s="12">
        <f t="shared" si="2"/>
        <v>1</v>
      </c>
    </row>
    <row r="59" ht="19.5" customHeight="1">
      <c r="A59" s="5">
        <f>IFERROR(__xludf.DUMMYFUNCTION("""COMPUTED_VALUE"""),130908.0)</f>
        <v>130908</v>
      </c>
      <c r="B59" s="5" t="str">
        <f>IFERROR(__xludf.DUMMYFUNCTION("""COMPUTED_VALUE"""),"佐藤　優太郎")</f>
        <v>佐藤　優太郎</v>
      </c>
      <c r="C59" s="5" t="str">
        <f>IFERROR(__xludf.DUMMYFUNCTION("""COMPUTED_VALUE"""),"さとう　ゆうたろう")</f>
        <v>さとう　ゆうたろう</v>
      </c>
      <c r="D59" s="5">
        <f>IFERROR(__xludf.DUMMYFUNCTION("""COMPUTED_VALUE"""),3.0)</f>
        <v>3</v>
      </c>
      <c r="E59" s="5" t="str">
        <f>IFERROR(__xludf.DUMMYFUNCTION("""COMPUTED_VALUE"""),"男")</f>
        <v>男</v>
      </c>
      <c r="F59" s="5" t="str">
        <f>IFERROR(__xludf.DUMMYFUNCTION("""COMPUTED_VALUE"""),"MUA")</f>
        <v>MUA</v>
      </c>
      <c r="G59" s="5" t="str">
        <f>IFERROR(__xludf.DUMMYFUNCTION("""COMPUTED_VALUE"""),"○出場")</f>
        <v>○出場</v>
      </c>
      <c r="H59" s="5">
        <f>IFERROR(__xludf.DUMMYFUNCTION("""COMPUTED_VALUE"""),261188.0)</f>
        <v>261188</v>
      </c>
      <c r="I59" s="5" t="str">
        <f>IFERROR(__xludf.DUMMYFUNCTION("""COMPUTED_VALUE"""),"○参加する")</f>
        <v>○参加する</v>
      </c>
      <c r="J59" s="5"/>
      <c r="K59" s="12">
        <f t="shared" si="2"/>
        <v>1</v>
      </c>
    </row>
    <row r="60" ht="19.5" customHeight="1">
      <c r="A60" s="5">
        <f>IFERROR(__xludf.DUMMYFUNCTION("""COMPUTED_VALUE"""),130911.0)</f>
        <v>130911</v>
      </c>
      <c r="B60" s="5" t="str">
        <f>IFERROR(__xludf.DUMMYFUNCTION("""COMPUTED_VALUE"""),"長谷部　倫太")</f>
        <v>長谷部　倫太</v>
      </c>
      <c r="C60" s="5" t="str">
        <f>IFERROR(__xludf.DUMMYFUNCTION("""COMPUTED_VALUE"""),"はせべ　りんた")</f>
        <v>はせべ　りんた</v>
      </c>
      <c r="D60" s="5">
        <f>IFERROR(__xludf.DUMMYFUNCTION("""COMPUTED_VALUE"""),3.0)</f>
        <v>3</v>
      </c>
      <c r="E60" s="5" t="str">
        <f>IFERROR(__xludf.DUMMYFUNCTION("""COMPUTED_VALUE"""),"男")</f>
        <v>男</v>
      </c>
      <c r="F60" s="5" t="str">
        <f>IFERROR(__xludf.DUMMYFUNCTION("""COMPUTED_VALUE"""),"×欠場")</f>
        <v>×欠場</v>
      </c>
      <c r="G60" s="5" t="str">
        <f>IFERROR(__xludf.DUMMYFUNCTION("""COMPUTED_VALUE"""),"×欠場")</f>
        <v>×欠場</v>
      </c>
      <c r="H60" s="5"/>
      <c r="I60" s="5" t="str">
        <f>IFERROR(__xludf.DUMMYFUNCTION("""COMPUTED_VALUE"""),"×参加しない")</f>
        <v>×参加しない</v>
      </c>
      <c r="J60" s="5"/>
      <c r="K60" s="12">
        <f t="shared" si="2"/>
        <v>0</v>
      </c>
    </row>
    <row r="61" ht="19.5" customHeight="1">
      <c r="A61" s="5">
        <f>IFERROR(__xludf.DUMMYFUNCTION("""COMPUTED_VALUE"""),130915.0)</f>
        <v>130915</v>
      </c>
      <c r="B61" s="5" t="str">
        <f>IFERROR(__xludf.DUMMYFUNCTION("""COMPUTED_VALUE"""),"三井　健世")</f>
        <v>三井　健世</v>
      </c>
      <c r="C61" s="5" t="str">
        <f>IFERROR(__xludf.DUMMYFUNCTION("""COMPUTED_VALUE"""),"みつい　けんせい")</f>
        <v>みつい　けんせい</v>
      </c>
      <c r="D61" s="5">
        <f>IFERROR(__xludf.DUMMYFUNCTION("""COMPUTED_VALUE"""),3.0)</f>
        <v>3</v>
      </c>
      <c r="E61" s="5" t="str">
        <f>IFERROR(__xludf.DUMMYFUNCTION("""COMPUTED_VALUE"""),"男")</f>
        <v>男</v>
      </c>
      <c r="F61" s="5" t="str">
        <f>IFERROR(__xludf.DUMMYFUNCTION("""COMPUTED_VALUE"""),"MUA")</f>
        <v>MUA</v>
      </c>
      <c r="G61" s="5" t="str">
        <f>IFERROR(__xludf.DUMMYFUNCTION("""COMPUTED_VALUE"""),"○出場")</f>
        <v>○出場</v>
      </c>
      <c r="H61" s="5">
        <f>IFERROR(__xludf.DUMMYFUNCTION("""COMPUTED_VALUE"""),261189.0)</f>
        <v>261189</v>
      </c>
      <c r="I61" s="5" t="str">
        <f>IFERROR(__xludf.DUMMYFUNCTION("""COMPUTED_VALUE"""),"○参加する")</f>
        <v>○参加する</v>
      </c>
      <c r="J61" s="5"/>
      <c r="K61" s="12">
        <f t="shared" si="2"/>
        <v>1</v>
      </c>
    </row>
    <row r="62" ht="19.5" customHeight="1">
      <c r="A62" s="5">
        <f>IFERROR(__xludf.DUMMYFUNCTION("""COMPUTED_VALUE"""),30901.0)</f>
        <v>30901</v>
      </c>
      <c r="B62" s="5" t="str">
        <f>IFERROR(__xludf.DUMMYFUNCTION("""COMPUTED_VALUE"""),"金子隼人")</f>
        <v>金子隼人</v>
      </c>
      <c r="C62" s="5" t="str">
        <f>IFERROR(__xludf.DUMMYFUNCTION("""COMPUTED_VALUE"""),"かねこはやと")</f>
        <v>かねこはやと</v>
      </c>
      <c r="D62" s="5">
        <f>IFERROR(__xludf.DUMMYFUNCTION("""COMPUTED_VALUE"""),4.0)</f>
        <v>4</v>
      </c>
      <c r="E62" s="5" t="str">
        <f>IFERROR(__xludf.DUMMYFUNCTION("""COMPUTED_VALUE"""),"男")</f>
        <v>男</v>
      </c>
      <c r="F62" s="5" t="str">
        <f>IFERROR(__xludf.DUMMYFUNCTION("""COMPUTED_VALUE"""),"MUA")</f>
        <v>MUA</v>
      </c>
      <c r="G62" s="5" t="str">
        <f>IFERROR(__xludf.DUMMYFUNCTION("""COMPUTED_VALUE"""),"○出場")</f>
        <v>○出場</v>
      </c>
      <c r="H62" s="5">
        <f>IFERROR(__xludf.DUMMYFUNCTION("""COMPUTED_VALUE"""),270225.0)</f>
        <v>270225</v>
      </c>
      <c r="I62" s="5" t="str">
        <f>IFERROR(__xludf.DUMMYFUNCTION("""COMPUTED_VALUE"""),"○参加する")</f>
        <v>○参加する</v>
      </c>
      <c r="J62" s="5"/>
      <c r="K62" s="12">
        <f t="shared" si="2"/>
        <v>1</v>
      </c>
    </row>
    <row r="63" ht="19.5" customHeight="1">
      <c r="A63" s="5">
        <f>IFERROR(__xludf.DUMMYFUNCTION("""COMPUTED_VALUE"""),30902.0)</f>
        <v>30902</v>
      </c>
      <c r="B63" s="5" t="str">
        <f>IFERROR(__xludf.DUMMYFUNCTION("""COMPUTED_VALUE"""),"綾野 拓全")</f>
        <v>綾野 拓全</v>
      </c>
      <c r="C63" s="5" t="str">
        <f>IFERROR(__xludf.DUMMYFUNCTION("""COMPUTED_VALUE"""),"あやの たくま")</f>
        <v>あやの たくま</v>
      </c>
      <c r="D63" s="5">
        <f>IFERROR(__xludf.DUMMYFUNCTION("""COMPUTED_VALUE"""),4.0)</f>
        <v>4</v>
      </c>
      <c r="E63" s="5" t="str">
        <f>IFERROR(__xludf.DUMMYFUNCTION("""COMPUTED_VALUE"""),"男")</f>
        <v>男</v>
      </c>
      <c r="F63" s="5" t="str">
        <f>IFERROR(__xludf.DUMMYFUNCTION("""COMPUTED_VALUE"""),"MUA")</f>
        <v>MUA</v>
      </c>
      <c r="G63" s="5" t="str">
        <f>IFERROR(__xludf.DUMMYFUNCTION("""COMPUTED_VALUE"""),"○出場")</f>
        <v>○出場</v>
      </c>
      <c r="H63" s="5"/>
      <c r="I63" s="5" t="str">
        <f>IFERROR(__xludf.DUMMYFUNCTION("""COMPUTED_VALUE"""),"○参加する")</f>
        <v>○参加する</v>
      </c>
      <c r="J63" s="5"/>
      <c r="K63" s="12">
        <f t="shared" si="2"/>
        <v>1</v>
      </c>
    </row>
    <row r="64" ht="19.5" customHeight="1">
      <c r="A64" s="5">
        <f>IFERROR(__xludf.DUMMYFUNCTION("""COMPUTED_VALUE"""),30904.0)</f>
        <v>30904</v>
      </c>
      <c r="B64" s="5" t="str">
        <f>IFERROR(__xludf.DUMMYFUNCTION("""COMPUTED_VALUE"""),"加賀谷 湧")</f>
        <v>加賀谷 湧</v>
      </c>
      <c r="C64" s="5" t="str">
        <f>IFERROR(__xludf.DUMMYFUNCTION("""COMPUTED_VALUE"""),"かがや ゆう")</f>
        <v>かがや ゆう</v>
      </c>
      <c r="D64" s="5">
        <f>IFERROR(__xludf.DUMMYFUNCTION("""COMPUTED_VALUE"""),4.0)</f>
        <v>4</v>
      </c>
      <c r="E64" s="5" t="str">
        <f>IFERROR(__xludf.DUMMYFUNCTION("""COMPUTED_VALUE"""),"男")</f>
        <v>男</v>
      </c>
      <c r="F64" s="5" t="str">
        <f>IFERROR(__xludf.DUMMYFUNCTION("""COMPUTED_VALUE"""),"MUA")</f>
        <v>MUA</v>
      </c>
      <c r="G64" s="5" t="str">
        <f>IFERROR(__xludf.DUMMYFUNCTION("""COMPUTED_VALUE"""),"○出場")</f>
        <v>○出場</v>
      </c>
      <c r="H64" s="5">
        <f>IFERROR(__xludf.DUMMYFUNCTION("""COMPUTED_VALUE"""),270230.0)</f>
        <v>270230</v>
      </c>
      <c r="I64" s="5" t="str">
        <f>IFERROR(__xludf.DUMMYFUNCTION("""COMPUTED_VALUE"""),"○参加する")</f>
        <v>○参加する</v>
      </c>
      <c r="J64" s="5"/>
      <c r="K64" s="12">
        <f t="shared" si="2"/>
        <v>1</v>
      </c>
    </row>
    <row r="65" ht="19.5" customHeight="1">
      <c r="A65" s="5">
        <f>IFERROR(__xludf.DUMMYFUNCTION("""COMPUTED_VALUE"""),30906.0)</f>
        <v>30906</v>
      </c>
      <c r="B65" s="5" t="str">
        <f>IFERROR(__xludf.DUMMYFUNCTION("""COMPUTED_VALUE"""),"中西 悠太")</f>
        <v>中西 悠太</v>
      </c>
      <c r="C65" s="5" t="str">
        <f>IFERROR(__xludf.DUMMYFUNCTION("""COMPUTED_VALUE"""),"なかにし ゆうた")</f>
        <v>なかにし ゆうた</v>
      </c>
      <c r="D65" s="5">
        <f>IFERROR(__xludf.DUMMYFUNCTION("""COMPUTED_VALUE"""),4.0)</f>
        <v>4</v>
      </c>
      <c r="E65" s="5" t="str">
        <f>IFERROR(__xludf.DUMMYFUNCTION("""COMPUTED_VALUE"""),"男")</f>
        <v>男</v>
      </c>
      <c r="F65" s="5" t="str">
        <f>IFERROR(__xludf.DUMMYFUNCTION("""COMPUTED_VALUE"""),"MUA")</f>
        <v>MUA</v>
      </c>
      <c r="G65" s="5" t="str">
        <f>IFERROR(__xludf.DUMMYFUNCTION("""COMPUTED_VALUE"""),"○出場")</f>
        <v>○出場</v>
      </c>
      <c r="H65" s="5">
        <f>IFERROR(__xludf.DUMMYFUNCTION("""COMPUTED_VALUE"""),270232.0)</f>
        <v>270232</v>
      </c>
      <c r="I65" s="5" t="str">
        <f>IFERROR(__xludf.DUMMYFUNCTION("""COMPUTED_VALUE"""),"○参加する")</f>
        <v>○参加する</v>
      </c>
      <c r="J65" s="5"/>
      <c r="K65" s="12">
        <f t="shared" si="2"/>
        <v>1</v>
      </c>
    </row>
    <row r="66" ht="19.5" customHeight="1">
      <c r="A66" s="5">
        <f>IFERROR(__xludf.DUMMYFUNCTION("""COMPUTED_VALUE"""),30910.0)</f>
        <v>30910</v>
      </c>
      <c r="B66" s="5" t="str">
        <f>IFERROR(__xludf.DUMMYFUNCTION("""COMPUTED_VALUE"""),"渡辺 陽太")</f>
        <v>渡辺 陽太</v>
      </c>
      <c r="C66" s="5" t="str">
        <f>IFERROR(__xludf.DUMMYFUNCTION("""COMPUTED_VALUE"""),"わたなべ ようた")</f>
        <v>わたなべ ようた</v>
      </c>
      <c r="D66" s="5">
        <f>IFERROR(__xludf.DUMMYFUNCTION("""COMPUTED_VALUE"""),4.0)</f>
        <v>4</v>
      </c>
      <c r="E66" s="5" t="str">
        <f>IFERROR(__xludf.DUMMYFUNCTION("""COMPUTED_VALUE"""),"男")</f>
        <v>男</v>
      </c>
      <c r="F66" s="5" t="str">
        <f>IFERROR(__xludf.DUMMYFUNCTION("""COMPUTED_VALUE"""),"MUA")</f>
        <v>MUA</v>
      </c>
      <c r="G66" s="5" t="str">
        <f>IFERROR(__xludf.DUMMYFUNCTION("""COMPUTED_VALUE"""),"○出場")</f>
        <v>○出場</v>
      </c>
      <c r="H66" s="5">
        <f>IFERROR(__xludf.DUMMYFUNCTION("""COMPUTED_VALUE"""),265292.0)</f>
        <v>265292</v>
      </c>
      <c r="I66" s="5" t="str">
        <f>IFERROR(__xludf.DUMMYFUNCTION("""COMPUTED_VALUE"""),"×参加しない")</f>
        <v>×参加しない</v>
      </c>
      <c r="J66" s="5"/>
      <c r="K66" s="12">
        <f t="shared" si="2"/>
        <v>1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840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3</v>
      </c>
      <c r="E4" s="7">
        <f t="shared" ref="E4:E8" si="1">C4*D4</f>
        <v>25500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1</v>
      </c>
      <c r="E5" s="7">
        <f t="shared" si="1"/>
        <v>8000</v>
      </c>
    </row>
    <row r="6" ht="19.5" customHeight="1">
      <c r="A6" s="2" t="s">
        <v>9</v>
      </c>
      <c r="B6" s="4"/>
      <c r="C6" s="7">
        <v>32700.0</v>
      </c>
      <c r="D6" s="5">
        <f>D4+D5</f>
        <v>4</v>
      </c>
      <c r="E6" s="7">
        <f t="shared" si="1"/>
        <v>130800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1</v>
      </c>
      <c r="E7" s="7">
        <f t="shared" si="1"/>
        <v>4500</v>
      </c>
    </row>
    <row r="8" ht="19.5" customHeight="1">
      <c r="A8" s="2" t="s">
        <v>11</v>
      </c>
      <c r="B8" s="4"/>
      <c r="C8" s="7">
        <v>500.0</v>
      </c>
      <c r="D8" s="5">
        <f>D4-COUNT(H14:H201)</f>
        <v>0</v>
      </c>
      <c r="E8" s="7">
        <f t="shared" si="1"/>
        <v>0</v>
      </c>
    </row>
    <row r="9" ht="19.5" customHeight="1">
      <c r="A9" s="9"/>
      <c r="B9" s="9"/>
      <c r="C9" s="9"/>
      <c r="D9" s="10" t="s">
        <v>5</v>
      </c>
      <c r="E9" s="11">
        <f>SUM(E4:E8)</f>
        <v>168800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IFERROR(__xludf.DUMMYFUNCTION("FILTER('個人別エントリー'!C2:L1018,'個人別エントリー'!B2:B1018=A1)"),231003.0)</f>
        <v>231003</v>
      </c>
      <c r="B14" s="5" t="str">
        <f>IFERROR(__xludf.DUMMYFUNCTION("""COMPUTED_VALUE"""),"鎌田　芳明")</f>
        <v>鎌田　芳明</v>
      </c>
      <c r="C14" s="5" t="str">
        <f>IFERROR(__xludf.DUMMYFUNCTION("""COMPUTED_VALUE"""),"かまた　よしあき")</f>
        <v>かまた　よしあき</v>
      </c>
      <c r="D14" s="5">
        <f>IFERROR(__xludf.DUMMYFUNCTION("""COMPUTED_VALUE"""),2.0)</f>
        <v>2</v>
      </c>
      <c r="E14" s="5" t="str">
        <f>IFERROR(__xludf.DUMMYFUNCTION("""COMPUTED_VALUE"""),"男")</f>
        <v>男</v>
      </c>
      <c r="F14" s="5" t="str">
        <f>IFERROR(__xludf.DUMMYFUNCTION("""COMPUTED_VALUE"""),"MUB")</f>
        <v>MUB</v>
      </c>
      <c r="G14" s="5" t="str">
        <f>IFERROR(__xludf.DUMMYFUNCTION("""COMPUTED_VALUE"""),"○出場")</f>
        <v>○出場</v>
      </c>
      <c r="H14" s="5">
        <f>IFERROR(__xludf.DUMMYFUNCTION("""COMPUTED_VALUE"""),239632.0)</f>
        <v>239632</v>
      </c>
      <c r="I14" s="5" t="str">
        <f>IFERROR(__xludf.DUMMYFUNCTION("""COMPUTED_VALUE"""),"○参加する")</f>
        <v>○参加する</v>
      </c>
      <c r="J14" s="5"/>
      <c r="K14" s="12">
        <f t="shared" ref="K14:K201" si="2">IF(AND(OR(F14="×欠場",F14=""),OR(G14="×欠場",G14="")),0,1)</f>
        <v>1</v>
      </c>
      <c r="M14" s="5" t="str">
        <f>IFERROR(__xludf.DUMMYFUNCTION("FILTER('リレー内容'!$C$2:$K$51,'リレー内容'!$B$2:$B$51=A1)"),"○出場")</f>
        <v>○出場</v>
      </c>
      <c r="N14" s="5" t="str">
        <f>IFERROR(__xludf.DUMMYFUNCTION("""COMPUTED_VALUE"""),"×欠場")</f>
        <v>×欠場</v>
      </c>
      <c r="O14" s="5">
        <f>IFERROR(__xludf.DUMMYFUNCTION("""COMPUTED_VALUE"""),0.0)</f>
        <v>0</v>
      </c>
      <c r="P14" s="5">
        <f>IFERROR(__xludf.DUMMYFUNCTION("""COMPUTED_VALUE"""),0.0)</f>
        <v>0</v>
      </c>
      <c r="Q14" s="5">
        <f>IFERROR(__xludf.DUMMYFUNCTION("""COMPUTED_VALUE"""),0.0)</f>
        <v>0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IFERROR(__xludf.DUMMYFUNCTION("""COMPUTED_VALUE"""),131005.0)</f>
        <v>131005</v>
      </c>
      <c r="B15" s="5" t="str">
        <f>IFERROR(__xludf.DUMMYFUNCTION("""COMPUTED_VALUE"""),"森田 裕也")</f>
        <v>森田 裕也</v>
      </c>
      <c r="C15" s="5" t="str">
        <f>IFERROR(__xludf.DUMMYFUNCTION("""COMPUTED_VALUE"""),"もりた ゆうや")</f>
        <v>もりた ゆうや</v>
      </c>
      <c r="D15" s="5">
        <f>IFERROR(__xludf.DUMMYFUNCTION("""COMPUTED_VALUE"""),3.0)</f>
        <v>3</v>
      </c>
      <c r="E15" s="5" t="str">
        <f>IFERROR(__xludf.DUMMYFUNCTION("""COMPUTED_VALUE"""),"男")</f>
        <v>男</v>
      </c>
      <c r="F15" s="5" t="str">
        <f>IFERROR(__xludf.DUMMYFUNCTION("""COMPUTED_VALUE"""),"MUA")</f>
        <v>MUA</v>
      </c>
      <c r="G15" s="5" t="str">
        <f>IFERROR(__xludf.DUMMYFUNCTION("""COMPUTED_VALUE"""),"○出場")</f>
        <v>○出場</v>
      </c>
      <c r="H15" s="5">
        <f>IFERROR(__xludf.DUMMYFUNCTION("""COMPUTED_VALUE"""),239623.0)</f>
        <v>239623</v>
      </c>
      <c r="I15" s="5" t="str">
        <f>IFERROR(__xludf.DUMMYFUNCTION("""COMPUTED_VALUE"""),"○参加する")</f>
        <v>○参加する</v>
      </c>
      <c r="J15" s="5"/>
      <c r="K15" s="12">
        <f t="shared" si="2"/>
        <v>1</v>
      </c>
    </row>
    <row r="16" ht="19.5" customHeight="1">
      <c r="A16" s="5">
        <f>IFERROR(__xludf.DUMMYFUNCTION("""COMPUTED_VALUE"""),131010.0)</f>
        <v>131010</v>
      </c>
      <c r="B16" s="5" t="str">
        <f>IFERROR(__xludf.DUMMYFUNCTION("""COMPUTED_VALUE"""),"白井 季樹")</f>
        <v>白井 季樹</v>
      </c>
      <c r="C16" s="5" t="str">
        <f>IFERROR(__xludf.DUMMYFUNCTION("""COMPUTED_VALUE"""),"しらいとしき")</f>
        <v>しらいとしき</v>
      </c>
      <c r="D16" s="5">
        <f>IFERROR(__xludf.DUMMYFUNCTION("""COMPUTED_VALUE"""),3.0)</f>
        <v>3</v>
      </c>
      <c r="E16" s="5" t="str">
        <f>IFERROR(__xludf.DUMMYFUNCTION("""COMPUTED_VALUE"""),"男")</f>
        <v>男</v>
      </c>
      <c r="F16" s="5" t="str">
        <f>IFERROR(__xludf.DUMMYFUNCTION("""COMPUTED_VALUE"""),"MUA")</f>
        <v>MUA</v>
      </c>
      <c r="G16" s="5" t="str">
        <f>IFERROR(__xludf.DUMMYFUNCTION("""COMPUTED_VALUE"""),"○出場")</f>
        <v>○出場</v>
      </c>
      <c r="H16" s="5">
        <f>IFERROR(__xludf.DUMMYFUNCTION("""COMPUTED_VALUE"""),239526.0)</f>
        <v>239526</v>
      </c>
      <c r="I16" s="5" t="str">
        <f>IFERROR(__xludf.DUMMYFUNCTION("""COMPUTED_VALUE"""),"○参加する")</f>
        <v>○参加する</v>
      </c>
      <c r="J16" s="5"/>
      <c r="K16" s="12">
        <f t="shared" si="2"/>
        <v>1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12">
        <f t="shared" si="2"/>
        <v>0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12">
        <f t="shared" si="2"/>
        <v>0</v>
      </c>
      <c r="M18" s="5"/>
      <c r="N18" s="2"/>
      <c r="O18" s="4"/>
      <c r="P18" s="2"/>
      <c r="Q18" s="3"/>
      <c r="R18" s="3"/>
      <c r="S18" s="3"/>
      <c r="T18" s="3"/>
      <c r="U18" s="4"/>
    </row>
    <row r="19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12">
        <f t="shared" si="2"/>
        <v>0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12">
        <f t="shared" si="2"/>
        <v>0</v>
      </c>
    </row>
    <row r="21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12">
        <f t="shared" si="2"/>
        <v>0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2">
        <f t="shared" si="2"/>
        <v>0</v>
      </c>
      <c r="M23" s="2" t="str">
        <f>IFERROR(__xludf.DUMMYFUNCTION("FILTER('オフィシャル'!$B$2:$B$65,'オフィシャル'!$A$2:$A$65=A1)"),"中島怜士")</f>
        <v>中島怜士</v>
      </c>
      <c r="N23" s="4"/>
      <c r="O23" s="2" t="str">
        <f>IFERROR(__xludf.DUMMYFUNCTION("FILTER('オフィシャル'!$C$2:$C$65,'オフィシャル'!$A$2:$A$65=A1)"),"なかしまれいじ")</f>
        <v>なかしまれいじ</v>
      </c>
      <c r="P23" s="3"/>
      <c r="Q23" s="5" t="str">
        <f>IFERROR(__xludf.DUMMYFUNCTION("FILTER('オフィシャル'!$D$2:$D$65,'オフィシャル'!$A$2:$A$65=A1)"),"男")</f>
        <v>男</v>
      </c>
      <c r="R23" s="2" t="str">
        <f>IFERROR(__xludf.DUMMYFUNCTION("FILTER('オフィシャル'!$E$2:$E$65,'オフィシャル'!$A$2:$A$65=A1)"),"○する")</f>
        <v>○する</v>
      </c>
      <c r="S23" s="4"/>
      <c r="T23" s="14" t="str">
        <f>IFERROR(__xludf.DUMMYFUNCTION("FILTER('オフィシャル'!$F$2:$F$65,'オフィシャル'!$A$2:$A$65=A1)"),"")</f>
        <v/>
      </c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2">
        <f t="shared" si="2"/>
        <v>0</v>
      </c>
      <c r="M24" s="2"/>
      <c r="N24" s="4"/>
      <c r="O24" s="2"/>
      <c r="P24" s="3"/>
      <c r="Q24" s="5"/>
      <c r="R24" s="2"/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12">
        <f t="shared" si="2"/>
        <v>0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12">
        <f t="shared" si="2"/>
        <v>0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12">
        <f t="shared" si="2"/>
        <v>0</v>
      </c>
    </row>
    <row r="28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12">
        <f t="shared" si="2"/>
        <v>0</v>
      </c>
    </row>
    <row r="29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12">
        <f t="shared" si="2"/>
        <v>0</v>
      </c>
    </row>
    <row r="3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12">
        <f t="shared" si="2"/>
        <v>0</v>
      </c>
    </row>
    <row r="31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12">
        <f t="shared" si="2"/>
        <v>0</v>
      </c>
    </row>
    <row r="32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12">
        <f t="shared" si="2"/>
        <v>0</v>
      </c>
    </row>
    <row r="33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12">
        <f t="shared" si="2"/>
        <v>0</v>
      </c>
    </row>
    <row r="34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12">
        <f t="shared" si="2"/>
        <v>0</v>
      </c>
    </row>
    <row r="3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12">
        <f t="shared" si="2"/>
        <v>0</v>
      </c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12">
        <f t="shared" si="2"/>
        <v>0</v>
      </c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12">
        <f t="shared" si="2"/>
        <v>0</v>
      </c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12">
        <f t="shared" si="2"/>
        <v>0</v>
      </c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12">
        <f t="shared" si="2"/>
        <v>0</v>
      </c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12">
        <f t="shared" si="2"/>
        <v>0</v>
      </c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12">
        <f t="shared" si="2"/>
        <v>0</v>
      </c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12">
        <f t="shared" si="2"/>
        <v>0</v>
      </c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12">
        <f t="shared" si="2"/>
        <v>0</v>
      </c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12">
        <f t="shared" si="2"/>
        <v>0</v>
      </c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2">
        <f t="shared" si="2"/>
        <v>0</v>
      </c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2">
        <f t="shared" si="2"/>
        <v>0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847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16</v>
      </c>
      <c r="E4" s="7">
        <f t="shared" ref="E4:E8" si="1">C4*D4</f>
        <v>136000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2</v>
      </c>
      <c r="E5" s="7">
        <f t="shared" si="1"/>
        <v>16000</v>
      </c>
    </row>
    <row r="6" ht="19.5" customHeight="1">
      <c r="A6" s="2" t="s">
        <v>9</v>
      </c>
      <c r="B6" s="4"/>
      <c r="C6" s="7">
        <v>32700.0</v>
      </c>
      <c r="D6" s="5">
        <f>D4+D5</f>
        <v>18</v>
      </c>
      <c r="E6" s="7">
        <f t="shared" si="1"/>
        <v>588600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2</v>
      </c>
      <c r="E7" s="7">
        <f t="shared" si="1"/>
        <v>9000</v>
      </c>
    </row>
    <row r="8" ht="19.5" customHeight="1">
      <c r="A8" s="2" t="s">
        <v>11</v>
      </c>
      <c r="B8" s="4"/>
      <c r="C8" s="7">
        <v>500.0</v>
      </c>
      <c r="D8" s="5">
        <f>D4-COUNT(H14:H201)</f>
        <v>0</v>
      </c>
      <c r="E8" s="7">
        <f t="shared" si="1"/>
        <v>0</v>
      </c>
    </row>
    <row r="9" ht="19.5" customHeight="1">
      <c r="A9" s="9"/>
      <c r="B9" s="9"/>
      <c r="C9" s="9"/>
      <c r="D9" s="10" t="s">
        <v>5</v>
      </c>
      <c r="E9" s="11">
        <f>SUM(E4:E8)</f>
        <v>749600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IFERROR(__xludf.DUMMYFUNCTION("FILTER('個人別エントリー'!C2:L1018,'個人別エントリー'!B2:B1018=A1)"),331101.0)</f>
        <v>331101</v>
      </c>
      <c r="B14" s="5" t="str">
        <f>IFERROR(__xludf.DUMMYFUNCTION("""COMPUTED_VALUE"""),"武谷 峻")</f>
        <v>武谷 峻</v>
      </c>
      <c r="C14" s="5" t="str">
        <f>IFERROR(__xludf.DUMMYFUNCTION("""COMPUTED_VALUE"""),"たけや しゅん")</f>
        <v>たけや しゅん</v>
      </c>
      <c r="D14" s="5">
        <f>IFERROR(__xludf.DUMMYFUNCTION("""COMPUTED_VALUE"""),1.0)</f>
        <v>1</v>
      </c>
      <c r="E14" s="5" t="str">
        <f>IFERROR(__xludf.DUMMYFUNCTION("""COMPUTED_VALUE"""),"男")</f>
        <v>男</v>
      </c>
      <c r="F14" s="5" t="str">
        <f>IFERROR(__xludf.DUMMYFUNCTION("""COMPUTED_VALUE"""),"×欠場")</f>
        <v>×欠場</v>
      </c>
      <c r="G14" s="5" t="str">
        <f>IFERROR(__xludf.DUMMYFUNCTION("""COMPUTED_VALUE"""),"×欠場")</f>
        <v>×欠場</v>
      </c>
      <c r="H14" s="5"/>
      <c r="I14" s="5" t="str">
        <f>IFERROR(__xludf.DUMMYFUNCTION("""COMPUTED_VALUE"""),"×参加しない")</f>
        <v>×参加しない</v>
      </c>
      <c r="J14" s="5"/>
      <c r="K14" s="12">
        <f t="shared" ref="K14:K201" si="2">IF(AND(OR(F14="×欠場",F14=""),OR(G14="×欠場",G14="")),0,1)</f>
        <v>0</v>
      </c>
      <c r="M14" s="5" t="str">
        <f>IFERROR(__xludf.DUMMYFUNCTION("FILTER('リレー内容'!$C$2:$K$51,'リレー内容'!$B$2:$B$51=A1)"),"○出場")</f>
        <v>○出場</v>
      </c>
      <c r="N14" s="5" t="str">
        <f>IFERROR(__xludf.DUMMYFUNCTION("""COMPUTED_VALUE"""),"○出場")</f>
        <v>○出場</v>
      </c>
      <c r="O14" s="5">
        <f>IFERROR(__xludf.DUMMYFUNCTION("""COMPUTED_VALUE"""),2.0)</f>
        <v>2</v>
      </c>
      <c r="P14" s="5">
        <f>IFERROR(__xludf.DUMMYFUNCTION("""COMPUTED_VALUE"""),1.0)</f>
        <v>1</v>
      </c>
      <c r="Q14" s="5">
        <f>IFERROR(__xludf.DUMMYFUNCTION("""COMPUTED_VALUE"""),1.0)</f>
        <v>1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IFERROR(__xludf.DUMMYFUNCTION("""COMPUTED_VALUE"""),331102.0)</f>
        <v>331102</v>
      </c>
      <c r="B15" s="5" t="str">
        <f>IFERROR(__xludf.DUMMYFUNCTION("""COMPUTED_VALUE"""),"光山 大樹")</f>
        <v>光山 大樹</v>
      </c>
      <c r="C15" s="5" t="str">
        <f>IFERROR(__xludf.DUMMYFUNCTION("""COMPUTED_VALUE"""),"こうやま たいき")</f>
        <v>こうやま たいき</v>
      </c>
      <c r="D15" s="5">
        <f>IFERROR(__xludf.DUMMYFUNCTION("""COMPUTED_VALUE"""),1.0)</f>
        <v>1</v>
      </c>
      <c r="E15" s="5" t="str">
        <f>IFERROR(__xludf.DUMMYFUNCTION("""COMPUTED_VALUE"""),"男")</f>
        <v>男</v>
      </c>
      <c r="F15" s="5" t="str">
        <f>IFERROR(__xludf.DUMMYFUNCTION("""COMPUTED_VALUE"""),"MUF")</f>
        <v>MUF</v>
      </c>
      <c r="G15" s="5" t="str">
        <f>IFERROR(__xludf.DUMMYFUNCTION("""COMPUTED_VALUE"""),"○出場")</f>
        <v>○出場</v>
      </c>
      <c r="H15" s="5">
        <f>IFERROR(__xludf.DUMMYFUNCTION("""COMPUTED_VALUE"""),518926.0)</f>
        <v>518926</v>
      </c>
      <c r="I15" s="5" t="str">
        <f>IFERROR(__xludf.DUMMYFUNCTION("""COMPUTED_VALUE"""),"○参加する")</f>
        <v>○参加する</v>
      </c>
      <c r="J15" s="5"/>
      <c r="K15" s="12">
        <f t="shared" si="2"/>
        <v>1</v>
      </c>
    </row>
    <row r="16" ht="19.5" customHeight="1">
      <c r="A16" s="5">
        <f>IFERROR(__xludf.DUMMYFUNCTION("""COMPUTED_VALUE"""),331103.0)</f>
        <v>331103</v>
      </c>
      <c r="B16" s="5" t="str">
        <f>IFERROR(__xludf.DUMMYFUNCTION("""COMPUTED_VALUE"""),"森 颯太")</f>
        <v>森 颯太</v>
      </c>
      <c r="C16" s="5" t="str">
        <f>IFERROR(__xludf.DUMMYFUNCTION("""COMPUTED_VALUE"""),"もり そうた")</f>
        <v>もり そうた</v>
      </c>
      <c r="D16" s="5">
        <f>IFERROR(__xludf.DUMMYFUNCTION("""COMPUTED_VALUE"""),1.0)</f>
        <v>1</v>
      </c>
      <c r="E16" s="5" t="str">
        <f>IFERROR(__xludf.DUMMYFUNCTION("""COMPUTED_VALUE"""),"男")</f>
        <v>男</v>
      </c>
      <c r="F16" s="5" t="str">
        <f>IFERROR(__xludf.DUMMYFUNCTION("""COMPUTED_VALUE"""),"×欠場")</f>
        <v>×欠場</v>
      </c>
      <c r="G16" s="5" t="str">
        <f>IFERROR(__xludf.DUMMYFUNCTION("""COMPUTED_VALUE"""),"×欠場")</f>
        <v>×欠場</v>
      </c>
      <c r="H16" s="5"/>
      <c r="I16" s="5" t="str">
        <f>IFERROR(__xludf.DUMMYFUNCTION("""COMPUTED_VALUE"""),"×参加しない")</f>
        <v>×参加しない</v>
      </c>
      <c r="J16" s="5"/>
      <c r="K16" s="12">
        <f t="shared" si="2"/>
        <v>0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>
        <f>IFERROR(__xludf.DUMMYFUNCTION("""COMPUTED_VALUE"""),331104.0)</f>
        <v>331104</v>
      </c>
      <c r="B17" s="5" t="str">
        <f>IFERROR(__xludf.DUMMYFUNCTION("""COMPUTED_VALUE"""),"小野 聡久")</f>
        <v>小野 聡久</v>
      </c>
      <c r="C17" s="5" t="str">
        <f>IFERROR(__xludf.DUMMYFUNCTION("""COMPUTED_VALUE"""),"おの あきひさ")</f>
        <v>おの あきひさ</v>
      </c>
      <c r="D17" s="5">
        <f>IFERROR(__xludf.DUMMYFUNCTION("""COMPUTED_VALUE"""),1.0)</f>
        <v>1</v>
      </c>
      <c r="E17" s="5" t="str">
        <f>IFERROR(__xludf.DUMMYFUNCTION("""COMPUTED_VALUE"""),"男")</f>
        <v>男</v>
      </c>
      <c r="F17" s="5" t="str">
        <f>IFERROR(__xludf.DUMMYFUNCTION("""COMPUTED_VALUE"""),"×欠場")</f>
        <v>×欠場</v>
      </c>
      <c r="G17" s="5" t="str">
        <f>IFERROR(__xludf.DUMMYFUNCTION("""COMPUTED_VALUE"""),"×欠場")</f>
        <v>×欠場</v>
      </c>
      <c r="H17" s="5"/>
      <c r="I17" s="5" t="str">
        <f>IFERROR(__xludf.DUMMYFUNCTION("""COMPUTED_VALUE"""),"×参加しない")</f>
        <v>×参加しない</v>
      </c>
      <c r="J17" s="5"/>
      <c r="K17" s="12">
        <f t="shared" si="2"/>
        <v>0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>
        <f>IFERROR(__xludf.DUMMYFUNCTION("""COMPUTED_VALUE"""),331105.0)</f>
        <v>331105</v>
      </c>
      <c r="B18" s="5" t="str">
        <f>IFERROR(__xludf.DUMMYFUNCTION("""COMPUTED_VALUE"""),"三谷 武俊")</f>
        <v>三谷 武俊</v>
      </c>
      <c r="C18" s="5" t="str">
        <f>IFERROR(__xludf.DUMMYFUNCTION("""COMPUTED_VALUE"""),"みたに たけとし")</f>
        <v>みたに たけとし</v>
      </c>
      <c r="D18" s="5">
        <f>IFERROR(__xludf.DUMMYFUNCTION("""COMPUTED_VALUE"""),1.0)</f>
        <v>1</v>
      </c>
      <c r="E18" s="5" t="str">
        <f>IFERROR(__xludf.DUMMYFUNCTION("""COMPUTED_VALUE"""),"男")</f>
        <v>男</v>
      </c>
      <c r="F18" s="5" t="str">
        <f>IFERROR(__xludf.DUMMYFUNCTION("""COMPUTED_VALUE"""),"×欠場")</f>
        <v>×欠場</v>
      </c>
      <c r="G18" s="5" t="str">
        <f>IFERROR(__xludf.DUMMYFUNCTION("""COMPUTED_VALUE"""),"×欠場")</f>
        <v>×欠場</v>
      </c>
      <c r="H18" s="5"/>
      <c r="I18" s="5" t="str">
        <f>IFERROR(__xludf.DUMMYFUNCTION("""COMPUTED_VALUE"""),"×参加しない")</f>
        <v>×参加しない</v>
      </c>
      <c r="J18" s="5"/>
      <c r="K18" s="12">
        <f t="shared" si="2"/>
        <v>0</v>
      </c>
      <c r="M18" s="5" t="s">
        <v>29</v>
      </c>
      <c r="N18" s="2" t="s">
        <v>847</v>
      </c>
      <c r="O18" s="4"/>
      <c r="P18" s="2" t="s">
        <v>2326</v>
      </c>
      <c r="Q18" s="3"/>
      <c r="R18" s="3"/>
      <c r="S18" s="3"/>
      <c r="T18" s="3"/>
      <c r="U18" s="4"/>
    </row>
    <row r="19" ht="19.5" customHeight="1">
      <c r="A19" s="5">
        <f>IFERROR(__xludf.DUMMYFUNCTION("""COMPUTED_VALUE"""),331106.0)</f>
        <v>331106</v>
      </c>
      <c r="B19" s="5" t="str">
        <f>IFERROR(__xludf.DUMMYFUNCTION("""COMPUTED_VALUE"""),"間宮 一幸")</f>
        <v>間宮 一幸</v>
      </c>
      <c r="C19" s="5" t="str">
        <f>IFERROR(__xludf.DUMMYFUNCTION("""COMPUTED_VALUE"""),"まみや かずゆき")</f>
        <v>まみや かずゆき</v>
      </c>
      <c r="D19" s="5">
        <f>IFERROR(__xludf.DUMMYFUNCTION("""COMPUTED_VALUE"""),1.0)</f>
        <v>1</v>
      </c>
      <c r="E19" s="5" t="str">
        <f>IFERROR(__xludf.DUMMYFUNCTION("""COMPUTED_VALUE"""),"男")</f>
        <v>男</v>
      </c>
      <c r="F19" s="5" t="str">
        <f>IFERROR(__xludf.DUMMYFUNCTION("""COMPUTED_VALUE"""),"MUF")</f>
        <v>MUF</v>
      </c>
      <c r="G19" s="5" t="str">
        <f>IFERROR(__xludf.DUMMYFUNCTION("""COMPUTED_VALUE"""),"○出場")</f>
        <v>○出場</v>
      </c>
      <c r="H19" s="5">
        <f>IFERROR(__xludf.DUMMYFUNCTION("""COMPUTED_VALUE"""),519374.0)</f>
        <v>519374</v>
      </c>
      <c r="I19" s="5" t="str">
        <f>IFERROR(__xludf.DUMMYFUNCTION("""COMPUTED_VALUE"""),"○参加する")</f>
        <v>○参加する</v>
      </c>
      <c r="J19" s="5"/>
      <c r="K19" s="12">
        <f t="shared" si="2"/>
        <v>1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>
        <f>IFERROR(__xludf.DUMMYFUNCTION("""COMPUTED_VALUE"""),331107.0)</f>
        <v>331107</v>
      </c>
      <c r="B20" s="5" t="str">
        <f>IFERROR(__xludf.DUMMYFUNCTION("""COMPUTED_VALUE"""),"吉田 圭汰")</f>
        <v>吉田 圭汰</v>
      </c>
      <c r="C20" s="5" t="str">
        <f>IFERROR(__xludf.DUMMYFUNCTION("""COMPUTED_VALUE"""),"よしだ けいた")</f>
        <v>よしだ けいた</v>
      </c>
      <c r="D20" s="5">
        <f>IFERROR(__xludf.DUMMYFUNCTION("""COMPUTED_VALUE"""),1.0)</f>
        <v>1</v>
      </c>
      <c r="E20" s="5" t="str">
        <f>IFERROR(__xludf.DUMMYFUNCTION("""COMPUTED_VALUE"""),"男")</f>
        <v>男</v>
      </c>
      <c r="F20" s="5" t="str">
        <f>IFERROR(__xludf.DUMMYFUNCTION("""COMPUTED_VALUE"""),"MUF")</f>
        <v>MUF</v>
      </c>
      <c r="G20" s="5" t="str">
        <f>IFERROR(__xludf.DUMMYFUNCTION("""COMPUTED_VALUE"""),"○出場")</f>
        <v>○出場</v>
      </c>
      <c r="H20" s="5">
        <f>IFERROR(__xludf.DUMMYFUNCTION("""COMPUTED_VALUE"""),518928.0)</f>
        <v>518928</v>
      </c>
      <c r="I20" s="5" t="str">
        <f>IFERROR(__xludf.DUMMYFUNCTION("""COMPUTED_VALUE"""),"○参加する")</f>
        <v>○参加する</v>
      </c>
      <c r="J20" s="5"/>
      <c r="K20" s="12">
        <f t="shared" si="2"/>
        <v>1</v>
      </c>
    </row>
    <row r="21" ht="19.5" customHeight="1">
      <c r="A21" s="5">
        <f>IFERROR(__xludf.DUMMYFUNCTION("""COMPUTED_VALUE"""),331108.0)</f>
        <v>331108</v>
      </c>
      <c r="B21" s="5" t="str">
        <f>IFERROR(__xludf.DUMMYFUNCTION("""COMPUTED_VALUE"""),"野村 小蕗")</f>
        <v>野村 小蕗</v>
      </c>
      <c r="C21" s="5" t="str">
        <f>IFERROR(__xludf.DUMMYFUNCTION("""COMPUTED_VALUE"""),"のむら こふき")</f>
        <v>のむら こふき</v>
      </c>
      <c r="D21" s="5">
        <f>IFERROR(__xludf.DUMMYFUNCTION("""COMPUTED_VALUE"""),1.0)</f>
        <v>1</v>
      </c>
      <c r="E21" s="5" t="str">
        <f>IFERROR(__xludf.DUMMYFUNCTION("""COMPUTED_VALUE"""),"女")</f>
        <v>女</v>
      </c>
      <c r="F21" s="5" t="str">
        <f>IFERROR(__xludf.DUMMYFUNCTION("""COMPUTED_VALUE"""),"×欠場")</f>
        <v>×欠場</v>
      </c>
      <c r="G21" s="5" t="str">
        <f>IFERROR(__xludf.DUMMYFUNCTION("""COMPUTED_VALUE"""),"×欠場")</f>
        <v>×欠場</v>
      </c>
      <c r="H21" s="5"/>
      <c r="I21" s="5" t="str">
        <f>IFERROR(__xludf.DUMMYFUNCTION("""COMPUTED_VALUE"""),"×参加しない")</f>
        <v>×参加しない</v>
      </c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>
        <f>IFERROR(__xludf.DUMMYFUNCTION("""COMPUTED_VALUE"""),331109.0)</f>
        <v>331109</v>
      </c>
      <c r="B22" s="5" t="str">
        <f>IFERROR(__xludf.DUMMYFUNCTION("""COMPUTED_VALUE"""),"鈴木 博子")</f>
        <v>鈴木 博子</v>
      </c>
      <c r="C22" s="5" t="str">
        <f>IFERROR(__xludf.DUMMYFUNCTION("""COMPUTED_VALUE"""),"すずき ひろこ")</f>
        <v>すずき ひろこ</v>
      </c>
      <c r="D22" s="5">
        <f>IFERROR(__xludf.DUMMYFUNCTION("""COMPUTED_VALUE"""),1.0)</f>
        <v>1</v>
      </c>
      <c r="E22" s="5" t="str">
        <f>IFERROR(__xludf.DUMMYFUNCTION("""COMPUTED_VALUE"""),"女")</f>
        <v>女</v>
      </c>
      <c r="F22" s="5" t="str">
        <f>IFERROR(__xludf.DUMMYFUNCTION("""COMPUTED_VALUE"""),"WUF")</f>
        <v>WUF</v>
      </c>
      <c r="G22" s="5" t="str">
        <f>IFERROR(__xludf.DUMMYFUNCTION("""COMPUTED_VALUE"""),"○出場")</f>
        <v>○出場</v>
      </c>
      <c r="H22" s="5">
        <f>IFERROR(__xludf.DUMMYFUNCTION("""COMPUTED_VALUE"""),519524.0)</f>
        <v>519524</v>
      </c>
      <c r="I22" s="5" t="str">
        <f>IFERROR(__xludf.DUMMYFUNCTION("""COMPUTED_VALUE"""),"○参加する")</f>
        <v>○参加する</v>
      </c>
      <c r="J22" s="5"/>
      <c r="K22" s="12">
        <f t="shared" si="2"/>
        <v>1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>
        <f>IFERROR(__xludf.DUMMYFUNCTION("""COMPUTED_VALUE"""),331110.0)</f>
        <v>331110</v>
      </c>
      <c r="B23" s="5" t="str">
        <f>IFERROR(__xludf.DUMMYFUNCTION("""COMPUTED_VALUE"""),"坂井 果歩")</f>
        <v>坂井 果歩</v>
      </c>
      <c r="C23" s="5" t="str">
        <f>IFERROR(__xludf.DUMMYFUNCTION("""COMPUTED_VALUE"""),"さかい かほ")</f>
        <v>さかい かほ</v>
      </c>
      <c r="D23" s="5">
        <f>IFERROR(__xludf.DUMMYFUNCTION("""COMPUTED_VALUE"""),1.0)</f>
        <v>1</v>
      </c>
      <c r="E23" s="5" t="str">
        <f>IFERROR(__xludf.DUMMYFUNCTION("""COMPUTED_VALUE"""),"女")</f>
        <v>女</v>
      </c>
      <c r="F23" s="5" t="str">
        <f>IFERROR(__xludf.DUMMYFUNCTION("""COMPUTED_VALUE"""),"WUF")</f>
        <v>WUF</v>
      </c>
      <c r="G23" s="5" t="str">
        <f>IFERROR(__xludf.DUMMYFUNCTION("""COMPUTED_VALUE"""),"○出場")</f>
        <v>○出場</v>
      </c>
      <c r="H23" s="5">
        <f>IFERROR(__xludf.DUMMYFUNCTION("""COMPUTED_VALUE"""),518930.0)</f>
        <v>518930</v>
      </c>
      <c r="I23" s="5" t="str">
        <f>IFERROR(__xludf.DUMMYFUNCTION("""COMPUTED_VALUE"""),"○参加する")</f>
        <v>○参加する</v>
      </c>
      <c r="J23" s="5"/>
      <c r="K23" s="12">
        <f t="shared" si="2"/>
        <v>1</v>
      </c>
      <c r="M23" s="2" t="str">
        <f>IFERROR(__xludf.DUMMYFUNCTION("FILTER('オフィシャル'!$B$2:$B$65,'オフィシャル'!$A$2:$A$65=A1)"),"川崎 拓巳")</f>
        <v>川崎 拓巳</v>
      </c>
      <c r="N23" s="4"/>
      <c r="O23" s="2" t="str">
        <f>IFERROR(__xludf.DUMMYFUNCTION("FILTER('オフィシャル'!$C$2:$C$65,'オフィシャル'!$A$2:$A$65=A1)"),"かわさき たくみ")</f>
        <v>かわさき たくみ</v>
      </c>
      <c r="P23" s="3"/>
      <c r="Q23" s="5" t="str">
        <f>IFERROR(__xludf.DUMMYFUNCTION("FILTER('オフィシャル'!$D$2:$D$65,'オフィシャル'!$A$2:$A$65=A1)"),"男")</f>
        <v>男</v>
      </c>
      <c r="R23" s="2" t="str">
        <f>IFERROR(__xludf.DUMMYFUNCTION("FILTER('オフィシャル'!$E$2:$E$65,'オフィシャル'!$A$2:$A$65=A1)"),"○する")</f>
        <v>○する</v>
      </c>
      <c r="S23" s="4"/>
      <c r="T23" s="14" t="str">
        <f>IFERROR(__xludf.DUMMYFUNCTION("FILTER('オフィシャル'!$F$2:$F$65,'オフィシャル'!$A$2:$A$65=A1)"),"")</f>
        <v/>
      </c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>
        <f>IFERROR(__xludf.DUMMYFUNCTION("""COMPUTED_VALUE"""),331111.0)</f>
        <v>331111</v>
      </c>
      <c r="B24" s="5" t="str">
        <f>IFERROR(__xludf.DUMMYFUNCTION("""COMPUTED_VALUE"""),"百田 怜世")</f>
        <v>百田 怜世</v>
      </c>
      <c r="C24" s="5" t="str">
        <f>IFERROR(__xludf.DUMMYFUNCTION("""COMPUTED_VALUE"""),"ももた れいせい")</f>
        <v>ももた れいせい</v>
      </c>
      <c r="D24" s="5">
        <f>IFERROR(__xludf.DUMMYFUNCTION("""COMPUTED_VALUE"""),1.0)</f>
        <v>1</v>
      </c>
      <c r="E24" s="5" t="str">
        <f>IFERROR(__xludf.DUMMYFUNCTION("""COMPUTED_VALUE"""),"男")</f>
        <v>男</v>
      </c>
      <c r="F24" s="5" t="str">
        <f>IFERROR(__xludf.DUMMYFUNCTION("""COMPUTED_VALUE"""),"MUF")</f>
        <v>MUF</v>
      </c>
      <c r="G24" s="5" t="str">
        <f>IFERROR(__xludf.DUMMYFUNCTION("""COMPUTED_VALUE"""),"○出場")</f>
        <v>○出場</v>
      </c>
      <c r="H24" s="5">
        <f>IFERROR(__xludf.DUMMYFUNCTION("""COMPUTED_VALUE"""),519378.0)</f>
        <v>519378</v>
      </c>
      <c r="I24" s="5" t="str">
        <f>IFERROR(__xludf.DUMMYFUNCTION("""COMPUTED_VALUE"""),"○参加する")</f>
        <v>○参加する</v>
      </c>
      <c r="J24" s="5"/>
      <c r="K24" s="12">
        <f t="shared" si="2"/>
        <v>1</v>
      </c>
      <c r="M24" s="2" t="str">
        <f>IFERROR(__xludf.DUMMYFUNCTION("""COMPUTED_VALUE"""),"吉田 菜々子")</f>
        <v>吉田 菜々子</v>
      </c>
      <c r="N24" s="4"/>
      <c r="O24" s="2" t="str">
        <f>IFERROR(__xludf.DUMMYFUNCTION("""COMPUTED_VALUE"""),"よしだ ななこ")</f>
        <v>よしだ ななこ</v>
      </c>
      <c r="P24" s="3"/>
      <c r="Q24" s="5" t="str">
        <f>IFERROR(__xludf.DUMMYFUNCTION("""COMPUTED_VALUE"""),"女")</f>
        <v>女</v>
      </c>
      <c r="R24" s="2" t="str">
        <f>IFERROR(__xludf.DUMMYFUNCTION("""COMPUTED_VALUE"""),"○する")</f>
        <v>○する</v>
      </c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>
        <f>IFERROR(__xludf.DUMMYFUNCTION("""COMPUTED_VALUE"""),331112.0)</f>
        <v>331112</v>
      </c>
      <c r="B25" s="5" t="str">
        <f>IFERROR(__xludf.DUMMYFUNCTION("""COMPUTED_VALUE"""),"井上 虎太朗")</f>
        <v>井上 虎太朗</v>
      </c>
      <c r="C25" s="5" t="str">
        <f>IFERROR(__xludf.DUMMYFUNCTION("""COMPUTED_VALUE"""),"いのうえ こたろう")</f>
        <v>いのうえ こたろう</v>
      </c>
      <c r="D25" s="5">
        <f>IFERROR(__xludf.DUMMYFUNCTION("""COMPUTED_VALUE"""),1.0)</f>
        <v>1</v>
      </c>
      <c r="E25" s="5" t="str">
        <f>IFERROR(__xludf.DUMMYFUNCTION("""COMPUTED_VALUE"""),"男")</f>
        <v>男</v>
      </c>
      <c r="F25" s="5" t="str">
        <f>IFERROR(__xludf.DUMMYFUNCTION("""COMPUTED_VALUE"""),"MUF")</f>
        <v>MUF</v>
      </c>
      <c r="G25" s="5" t="str">
        <f>IFERROR(__xludf.DUMMYFUNCTION("""COMPUTED_VALUE"""),"○出場")</f>
        <v>○出場</v>
      </c>
      <c r="H25" s="5">
        <f>IFERROR(__xludf.DUMMYFUNCTION("""COMPUTED_VALUE"""),518927.0)</f>
        <v>518927</v>
      </c>
      <c r="I25" s="5" t="str">
        <f>IFERROR(__xludf.DUMMYFUNCTION("""COMPUTED_VALUE"""),"○参加する")</f>
        <v>○参加する</v>
      </c>
      <c r="J25" s="5"/>
      <c r="K25" s="12">
        <f t="shared" si="2"/>
        <v>1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>
        <f>IFERROR(__xludf.DUMMYFUNCTION("""COMPUTED_VALUE"""),231101.0)</f>
        <v>231101</v>
      </c>
      <c r="B26" s="5" t="str">
        <f>IFERROR(__xludf.DUMMYFUNCTION("""COMPUTED_VALUE"""),"石渡恵一")</f>
        <v>石渡恵一</v>
      </c>
      <c r="C26" s="5" t="str">
        <f>IFERROR(__xludf.DUMMYFUNCTION("""COMPUTED_VALUE"""),"いしわたけいいち")</f>
        <v>いしわたけいいち</v>
      </c>
      <c r="D26" s="5">
        <f>IFERROR(__xludf.DUMMYFUNCTION("""COMPUTED_VALUE"""),2.0)</f>
        <v>2</v>
      </c>
      <c r="E26" s="5" t="str">
        <f>IFERROR(__xludf.DUMMYFUNCTION("""COMPUTED_VALUE"""),"男")</f>
        <v>男</v>
      </c>
      <c r="F26" s="5" t="str">
        <f>IFERROR(__xludf.DUMMYFUNCTION("""COMPUTED_VALUE"""),"×欠場")</f>
        <v>×欠場</v>
      </c>
      <c r="G26" s="5" t="str">
        <f>IFERROR(__xludf.DUMMYFUNCTION("""COMPUTED_VALUE"""),"×欠場")</f>
        <v>×欠場</v>
      </c>
      <c r="H26" s="5"/>
      <c r="I26" s="5" t="str">
        <f>IFERROR(__xludf.DUMMYFUNCTION("""COMPUTED_VALUE"""),"×参加しない")</f>
        <v>×参加しない</v>
      </c>
      <c r="J26" s="5"/>
      <c r="K26" s="12">
        <f t="shared" si="2"/>
        <v>0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>
        <f>IFERROR(__xludf.DUMMYFUNCTION("""COMPUTED_VALUE"""),231108.0)</f>
        <v>231108</v>
      </c>
      <c r="B27" s="5" t="str">
        <f>IFERROR(__xludf.DUMMYFUNCTION("""COMPUTED_VALUE"""),"川浦哲心")</f>
        <v>川浦哲心</v>
      </c>
      <c r="C27" s="5" t="str">
        <f>IFERROR(__xludf.DUMMYFUNCTION("""COMPUTED_VALUE"""),"かわうらてっしん")</f>
        <v>かわうらてっしん</v>
      </c>
      <c r="D27" s="5">
        <f>IFERROR(__xludf.DUMMYFUNCTION("""COMPUTED_VALUE"""),2.0)</f>
        <v>2</v>
      </c>
      <c r="E27" s="5" t="str">
        <f>IFERROR(__xludf.DUMMYFUNCTION("""COMPUTED_VALUE"""),"男")</f>
        <v>男</v>
      </c>
      <c r="F27" s="5" t="str">
        <f>IFERROR(__xludf.DUMMYFUNCTION("""COMPUTED_VALUE"""),"×欠場")</f>
        <v>×欠場</v>
      </c>
      <c r="G27" s="5" t="str">
        <f>IFERROR(__xludf.DUMMYFUNCTION("""COMPUTED_VALUE"""),"×欠場")</f>
        <v>×欠場</v>
      </c>
      <c r="H27" s="5"/>
      <c r="I27" s="5" t="str">
        <f>IFERROR(__xludf.DUMMYFUNCTION("""COMPUTED_VALUE"""),"×参加しない")</f>
        <v>×参加しない</v>
      </c>
      <c r="J27" s="5"/>
      <c r="K27" s="12">
        <f t="shared" si="2"/>
        <v>0</v>
      </c>
    </row>
    <row r="28" ht="19.5" customHeight="1">
      <c r="A28" s="5">
        <f>IFERROR(__xludf.DUMMYFUNCTION("""COMPUTED_VALUE"""),231109.0)</f>
        <v>231109</v>
      </c>
      <c r="B28" s="5" t="str">
        <f>IFERROR(__xludf.DUMMYFUNCTION("""COMPUTED_VALUE"""),"川原慧也")</f>
        <v>川原慧也</v>
      </c>
      <c r="C28" s="5" t="str">
        <f>IFERROR(__xludf.DUMMYFUNCTION("""COMPUTED_VALUE"""),"かわはらけいや")</f>
        <v>かわはらけいや</v>
      </c>
      <c r="D28" s="5">
        <f>IFERROR(__xludf.DUMMYFUNCTION("""COMPUTED_VALUE"""),2.0)</f>
        <v>2</v>
      </c>
      <c r="E28" s="5" t="str">
        <f>IFERROR(__xludf.DUMMYFUNCTION("""COMPUTED_VALUE"""),"男")</f>
        <v>男</v>
      </c>
      <c r="F28" s="5" t="str">
        <f>IFERROR(__xludf.DUMMYFUNCTION("""COMPUTED_VALUE"""),"×欠場")</f>
        <v>×欠場</v>
      </c>
      <c r="G28" s="5" t="str">
        <f>IFERROR(__xludf.DUMMYFUNCTION("""COMPUTED_VALUE"""),"×欠場")</f>
        <v>×欠場</v>
      </c>
      <c r="H28" s="5"/>
      <c r="I28" s="5" t="str">
        <f>IFERROR(__xludf.DUMMYFUNCTION("""COMPUTED_VALUE"""),"×参加しない")</f>
        <v>×参加しない</v>
      </c>
      <c r="J28" s="5"/>
      <c r="K28" s="12">
        <f t="shared" si="2"/>
        <v>0</v>
      </c>
    </row>
    <row r="29" ht="19.5" customHeight="1">
      <c r="A29" s="5">
        <f>IFERROR(__xludf.DUMMYFUNCTION("""COMPUTED_VALUE"""),231110.0)</f>
        <v>231110</v>
      </c>
      <c r="B29" s="5" t="str">
        <f>IFERROR(__xludf.DUMMYFUNCTION("""COMPUTED_VALUE"""),"川村千晴")</f>
        <v>川村千晴</v>
      </c>
      <c r="C29" s="5" t="str">
        <f>IFERROR(__xludf.DUMMYFUNCTION("""COMPUTED_VALUE"""),"かわむらちはる")</f>
        <v>かわむらちはる</v>
      </c>
      <c r="D29" s="5">
        <f>IFERROR(__xludf.DUMMYFUNCTION("""COMPUTED_VALUE"""),2.0)</f>
        <v>2</v>
      </c>
      <c r="E29" s="5" t="str">
        <f>IFERROR(__xludf.DUMMYFUNCTION("""COMPUTED_VALUE"""),"男")</f>
        <v>男</v>
      </c>
      <c r="F29" s="5" t="str">
        <f>IFERROR(__xludf.DUMMYFUNCTION("""COMPUTED_VALUE"""),"×欠場")</f>
        <v>×欠場</v>
      </c>
      <c r="G29" s="5" t="str">
        <f>IFERROR(__xludf.DUMMYFUNCTION("""COMPUTED_VALUE"""),"×欠場")</f>
        <v>×欠場</v>
      </c>
      <c r="H29" s="5"/>
      <c r="I29" s="5" t="str">
        <f>IFERROR(__xludf.DUMMYFUNCTION("""COMPUTED_VALUE"""),"×参加しない")</f>
        <v>×参加しない</v>
      </c>
      <c r="J29" s="5"/>
      <c r="K29" s="12">
        <f t="shared" si="2"/>
        <v>0</v>
      </c>
    </row>
    <row r="30" ht="19.5" customHeight="1">
      <c r="A30" s="5">
        <f>IFERROR(__xludf.DUMMYFUNCTION("""COMPUTED_VALUE"""),231113.0)</f>
        <v>231113</v>
      </c>
      <c r="B30" s="5" t="str">
        <f>IFERROR(__xludf.DUMMYFUNCTION("""COMPUTED_VALUE"""),"小池秀輔")</f>
        <v>小池秀輔</v>
      </c>
      <c r="C30" s="5" t="str">
        <f>IFERROR(__xludf.DUMMYFUNCTION("""COMPUTED_VALUE"""),"こいけしゅうすけ")</f>
        <v>こいけしゅうすけ</v>
      </c>
      <c r="D30" s="5">
        <f>IFERROR(__xludf.DUMMYFUNCTION("""COMPUTED_VALUE"""),2.0)</f>
        <v>2</v>
      </c>
      <c r="E30" s="5" t="str">
        <f>IFERROR(__xludf.DUMMYFUNCTION("""COMPUTED_VALUE"""),"男")</f>
        <v>男</v>
      </c>
      <c r="F30" s="5" t="str">
        <f>IFERROR(__xludf.DUMMYFUNCTION("""COMPUTED_VALUE"""),"MUA")</f>
        <v>MUA</v>
      </c>
      <c r="G30" s="5" t="str">
        <f>IFERROR(__xludf.DUMMYFUNCTION("""COMPUTED_VALUE"""),"○出場")</f>
        <v>○出場</v>
      </c>
      <c r="H30" s="5">
        <f>IFERROR(__xludf.DUMMYFUNCTION("""COMPUTED_VALUE"""),519526.0)</f>
        <v>519526</v>
      </c>
      <c r="I30" s="5" t="str">
        <f>IFERROR(__xludf.DUMMYFUNCTION("""COMPUTED_VALUE"""),"○参加する")</f>
        <v>○参加する</v>
      </c>
      <c r="J30" s="5"/>
      <c r="K30" s="12">
        <f t="shared" si="2"/>
        <v>1</v>
      </c>
    </row>
    <row r="31" ht="19.5" customHeight="1">
      <c r="A31" s="5">
        <f>IFERROR(__xludf.DUMMYFUNCTION("""COMPUTED_VALUE"""),231115.0)</f>
        <v>231115</v>
      </c>
      <c r="B31" s="5" t="str">
        <f>IFERROR(__xludf.DUMMYFUNCTION("""COMPUTED_VALUE"""),"コットン巴亜斗")</f>
        <v>コットン巴亜斗</v>
      </c>
      <c r="C31" s="5" t="str">
        <f>IFERROR(__xludf.DUMMYFUNCTION("""COMPUTED_VALUE"""),"こっとんはあと")</f>
        <v>こっとんはあと</v>
      </c>
      <c r="D31" s="5">
        <f>IFERROR(__xludf.DUMMYFUNCTION("""COMPUTED_VALUE"""),2.0)</f>
        <v>2</v>
      </c>
      <c r="E31" s="5" t="str">
        <f>IFERROR(__xludf.DUMMYFUNCTION("""COMPUTED_VALUE"""),"男")</f>
        <v>男</v>
      </c>
      <c r="F31" s="5" t="str">
        <f>IFERROR(__xludf.DUMMYFUNCTION("""COMPUTED_VALUE"""),"×欠場")</f>
        <v>×欠場</v>
      </c>
      <c r="G31" s="5" t="str">
        <f>IFERROR(__xludf.DUMMYFUNCTION("""COMPUTED_VALUE"""),"×欠場")</f>
        <v>×欠場</v>
      </c>
      <c r="H31" s="5"/>
      <c r="I31" s="5" t="str">
        <f>IFERROR(__xludf.DUMMYFUNCTION("""COMPUTED_VALUE"""),"×参加しない")</f>
        <v>×参加しない</v>
      </c>
      <c r="J31" s="5"/>
      <c r="K31" s="12">
        <f t="shared" si="2"/>
        <v>0</v>
      </c>
    </row>
    <row r="32" ht="19.5" customHeight="1">
      <c r="A32" s="5">
        <f>IFERROR(__xludf.DUMMYFUNCTION("""COMPUTED_VALUE"""),231116.0)</f>
        <v>231116</v>
      </c>
      <c r="B32" s="5" t="str">
        <f>IFERROR(__xludf.DUMMYFUNCTION("""COMPUTED_VALUE"""),"齊藤 遼也")</f>
        <v>齊藤 遼也</v>
      </c>
      <c r="C32" s="5" t="str">
        <f>IFERROR(__xludf.DUMMYFUNCTION("""COMPUTED_VALUE"""),"さいとう りょうや")</f>
        <v>さいとう りょうや</v>
      </c>
      <c r="D32" s="5">
        <f>IFERROR(__xludf.DUMMYFUNCTION("""COMPUTED_VALUE"""),2.0)</f>
        <v>2</v>
      </c>
      <c r="E32" s="5" t="str">
        <f>IFERROR(__xludf.DUMMYFUNCTION("""COMPUTED_VALUE"""),"男")</f>
        <v>男</v>
      </c>
      <c r="F32" s="5" t="str">
        <f>IFERROR(__xludf.DUMMYFUNCTION("""COMPUTED_VALUE"""),"×欠場")</f>
        <v>×欠場</v>
      </c>
      <c r="G32" s="5" t="str">
        <f>IFERROR(__xludf.DUMMYFUNCTION("""COMPUTED_VALUE"""),"×欠場")</f>
        <v>×欠場</v>
      </c>
      <c r="H32" s="5"/>
      <c r="I32" s="5" t="str">
        <f>IFERROR(__xludf.DUMMYFUNCTION("""COMPUTED_VALUE"""),"×参加しない")</f>
        <v>×参加しない</v>
      </c>
      <c r="J32" s="5"/>
      <c r="K32" s="12">
        <f t="shared" si="2"/>
        <v>0</v>
      </c>
    </row>
    <row r="33" ht="19.5" customHeight="1">
      <c r="A33" s="5">
        <f>IFERROR(__xludf.DUMMYFUNCTION("""COMPUTED_VALUE"""),231119.0)</f>
        <v>231119</v>
      </c>
      <c r="B33" s="5" t="str">
        <f>IFERROR(__xludf.DUMMYFUNCTION("""COMPUTED_VALUE"""),"渋谷 悠人")</f>
        <v>渋谷 悠人</v>
      </c>
      <c r="C33" s="5" t="str">
        <f>IFERROR(__xludf.DUMMYFUNCTION("""COMPUTED_VALUE"""),"しぶや ゆうと")</f>
        <v>しぶや ゆうと</v>
      </c>
      <c r="D33" s="5">
        <f>IFERROR(__xludf.DUMMYFUNCTION("""COMPUTED_VALUE"""),2.0)</f>
        <v>2</v>
      </c>
      <c r="E33" s="5" t="str">
        <f>IFERROR(__xludf.DUMMYFUNCTION("""COMPUTED_VALUE"""),"男")</f>
        <v>男</v>
      </c>
      <c r="F33" s="5" t="str">
        <f>IFERROR(__xludf.DUMMYFUNCTION("""COMPUTED_VALUE"""),"×欠場")</f>
        <v>×欠場</v>
      </c>
      <c r="G33" s="5" t="str">
        <f>IFERROR(__xludf.DUMMYFUNCTION("""COMPUTED_VALUE"""),"×欠場")</f>
        <v>×欠場</v>
      </c>
      <c r="H33" s="5"/>
      <c r="I33" s="5" t="str">
        <f>IFERROR(__xludf.DUMMYFUNCTION("""COMPUTED_VALUE"""),"×参加しない")</f>
        <v>×参加しない</v>
      </c>
      <c r="J33" s="5"/>
      <c r="K33" s="12">
        <f t="shared" si="2"/>
        <v>0</v>
      </c>
    </row>
    <row r="34" ht="19.5" customHeight="1">
      <c r="A34" s="5">
        <f>IFERROR(__xludf.DUMMYFUNCTION("""COMPUTED_VALUE"""),231120.0)</f>
        <v>231120</v>
      </c>
      <c r="B34" s="5" t="str">
        <f>IFERROR(__xludf.DUMMYFUNCTION("""COMPUTED_VALUE"""),"中田 泰生")</f>
        <v>中田 泰生</v>
      </c>
      <c r="C34" s="5" t="str">
        <f>IFERROR(__xludf.DUMMYFUNCTION("""COMPUTED_VALUE"""),"なかた たいせい")</f>
        <v>なかた たいせい</v>
      </c>
      <c r="D34" s="5">
        <f>IFERROR(__xludf.DUMMYFUNCTION("""COMPUTED_VALUE"""),2.0)</f>
        <v>2</v>
      </c>
      <c r="E34" s="5" t="str">
        <f>IFERROR(__xludf.DUMMYFUNCTION("""COMPUTED_VALUE"""),"男")</f>
        <v>男</v>
      </c>
      <c r="F34" s="5" t="str">
        <f>IFERROR(__xludf.DUMMYFUNCTION("""COMPUTED_VALUE"""),"×欠場")</f>
        <v>×欠場</v>
      </c>
      <c r="G34" s="5" t="str">
        <f>IFERROR(__xludf.DUMMYFUNCTION("""COMPUTED_VALUE"""),"×欠場")</f>
        <v>×欠場</v>
      </c>
      <c r="H34" s="5"/>
      <c r="I34" s="5" t="str">
        <f>IFERROR(__xludf.DUMMYFUNCTION("""COMPUTED_VALUE"""),"×参加しない")</f>
        <v>×参加しない</v>
      </c>
      <c r="J34" s="5"/>
      <c r="K34" s="12">
        <f t="shared" si="2"/>
        <v>0</v>
      </c>
    </row>
    <row r="35" ht="19.5" customHeight="1">
      <c r="A35" s="5">
        <f>IFERROR(__xludf.DUMMYFUNCTION("""COMPUTED_VALUE"""),231121.0)</f>
        <v>231121</v>
      </c>
      <c r="B35" s="5" t="str">
        <f>IFERROR(__xludf.DUMMYFUNCTION("""COMPUTED_VALUE"""),"中山 香夏")</f>
        <v>中山 香夏</v>
      </c>
      <c r="C35" s="5" t="str">
        <f>IFERROR(__xludf.DUMMYFUNCTION("""COMPUTED_VALUE"""),"なかやま かな")</f>
        <v>なかやま かな</v>
      </c>
      <c r="D35" s="5">
        <f>IFERROR(__xludf.DUMMYFUNCTION("""COMPUTED_VALUE"""),2.0)</f>
        <v>2</v>
      </c>
      <c r="E35" s="5" t="str">
        <f>IFERROR(__xludf.DUMMYFUNCTION("""COMPUTED_VALUE"""),"女")</f>
        <v>女</v>
      </c>
      <c r="F35" s="5" t="str">
        <f>IFERROR(__xludf.DUMMYFUNCTION("""COMPUTED_VALUE"""),"×欠場")</f>
        <v>×欠場</v>
      </c>
      <c r="G35" s="5" t="str">
        <f>IFERROR(__xludf.DUMMYFUNCTION("""COMPUTED_VALUE"""),"×欠場")</f>
        <v>×欠場</v>
      </c>
      <c r="H35" s="5"/>
      <c r="I35" s="5" t="str">
        <f>IFERROR(__xludf.DUMMYFUNCTION("""COMPUTED_VALUE"""),"×参加しない")</f>
        <v>×参加しない</v>
      </c>
      <c r="J35" s="5"/>
      <c r="K35" s="12">
        <f t="shared" si="2"/>
        <v>0</v>
      </c>
    </row>
    <row r="36" ht="19.5" customHeight="1">
      <c r="A36" s="5">
        <f>IFERROR(__xludf.DUMMYFUNCTION("""COMPUTED_VALUE"""),231123.0)</f>
        <v>231123</v>
      </c>
      <c r="B36" s="5" t="str">
        <f>IFERROR(__xludf.DUMMYFUNCTION("""COMPUTED_VALUE"""),"西崎 栄士")</f>
        <v>西崎 栄士</v>
      </c>
      <c r="C36" s="5" t="str">
        <f>IFERROR(__xludf.DUMMYFUNCTION("""COMPUTED_VALUE"""),"にしざき えいじ")</f>
        <v>にしざき えいじ</v>
      </c>
      <c r="D36" s="5">
        <f>IFERROR(__xludf.DUMMYFUNCTION("""COMPUTED_VALUE"""),2.0)</f>
        <v>2</v>
      </c>
      <c r="E36" s="5" t="str">
        <f>IFERROR(__xludf.DUMMYFUNCTION("""COMPUTED_VALUE"""),"男")</f>
        <v>男</v>
      </c>
      <c r="F36" s="5" t="str">
        <f>IFERROR(__xludf.DUMMYFUNCTION("""COMPUTED_VALUE"""),"×欠場")</f>
        <v>×欠場</v>
      </c>
      <c r="G36" s="5" t="str">
        <f>IFERROR(__xludf.DUMMYFUNCTION("""COMPUTED_VALUE"""),"×欠場")</f>
        <v>×欠場</v>
      </c>
      <c r="H36" s="5"/>
      <c r="I36" s="5" t="str">
        <f>IFERROR(__xludf.DUMMYFUNCTION("""COMPUTED_VALUE"""),"×参加しない")</f>
        <v>×参加しない</v>
      </c>
      <c r="J36" s="5"/>
      <c r="K36" s="12">
        <f t="shared" si="2"/>
        <v>0</v>
      </c>
    </row>
    <row r="37" ht="19.5" customHeight="1">
      <c r="A37" s="5">
        <f>IFERROR(__xludf.DUMMYFUNCTION("""COMPUTED_VALUE"""),231124.0)</f>
        <v>231124</v>
      </c>
      <c r="B37" s="5" t="str">
        <f>IFERROR(__xludf.DUMMYFUNCTION("""COMPUTED_VALUE"""),"西村 美穂")</f>
        <v>西村 美穂</v>
      </c>
      <c r="C37" s="5" t="str">
        <f>IFERROR(__xludf.DUMMYFUNCTION("""COMPUTED_VALUE"""),"にしむら みほ")</f>
        <v>にしむら みほ</v>
      </c>
      <c r="D37" s="5">
        <f>IFERROR(__xludf.DUMMYFUNCTION("""COMPUTED_VALUE"""),2.0)</f>
        <v>2</v>
      </c>
      <c r="E37" s="5" t="str">
        <f>IFERROR(__xludf.DUMMYFUNCTION("""COMPUTED_VALUE"""),"女")</f>
        <v>女</v>
      </c>
      <c r="F37" s="5" t="str">
        <f>IFERROR(__xludf.DUMMYFUNCTION("""COMPUTED_VALUE"""),"WUA")</f>
        <v>WUA</v>
      </c>
      <c r="G37" s="5" t="str">
        <f>IFERROR(__xludf.DUMMYFUNCTION("""COMPUTED_VALUE"""),"○出場")</f>
        <v>○出場</v>
      </c>
      <c r="H37" s="5">
        <f>IFERROR(__xludf.DUMMYFUNCTION("""COMPUTED_VALUE"""),524969.0)</f>
        <v>524969</v>
      </c>
      <c r="I37" s="5" t="str">
        <f>IFERROR(__xludf.DUMMYFUNCTION("""COMPUTED_VALUE"""),"○参加する")</f>
        <v>○参加する</v>
      </c>
      <c r="J37" s="5"/>
      <c r="K37" s="12">
        <f t="shared" si="2"/>
        <v>1</v>
      </c>
    </row>
    <row r="38" ht="19.5" customHeight="1">
      <c r="A38" s="5">
        <f>IFERROR(__xludf.DUMMYFUNCTION("""COMPUTED_VALUE"""),231125.0)</f>
        <v>231125</v>
      </c>
      <c r="B38" s="5" t="str">
        <f>IFERROR(__xludf.DUMMYFUNCTION("""COMPUTED_VALUE"""),"東出 侑大")</f>
        <v>東出 侑大</v>
      </c>
      <c r="C38" s="5" t="str">
        <f>IFERROR(__xludf.DUMMYFUNCTION("""COMPUTED_VALUE"""),"ひがしで ゆうだい")</f>
        <v>ひがしで ゆうだい</v>
      </c>
      <c r="D38" s="5">
        <f>IFERROR(__xludf.DUMMYFUNCTION("""COMPUTED_VALUE"""),2.0)</f>
        <v>2</v>
      </c>
      <c r="E38" s="5" t="str">
        <f>IFERROR(__xludf.DUMMYFUNCTION("""COMPUTED_VALUE"""),"男")</f>
        <v>男</v>
      </c>
      <c r="F38" s="5" t="str">
        <f>IFERROR(__xludf.DUMMYFUNCTION("""COMPUTED_VALUE"""),"×欠場")</f>
        <v>×欠場</v>
      </c>
      <c r="G38" s="5" t="str">
        <f>IFERROR(__xludf.DUMMYFUNCTION("""COMPUTED_VALUE"""),"×欠場")</f>
        <v>×欠場</v>
      </c>
      <c r="H38" s="5"/>
      <c r="I38" s="5" t="str">
        <f>IFERROR(__xludf.DUMMYFUNCTION("""COMPUTED_VALUE"""),"×参加しない")</f>
        <v>×参加しない</v>
      </c>
      <c r="J38" s="5"/>
      <c r="K38" s="12">
        <f t="shared" si="2"/>
        <v>0</v>
      </c>
    </row>
    <row r="39" ht="19.5" customHeight="1">
      <c r="A39" s="5">
        <f>IFERROR(__xludf.DUMMYFUNCTION("""COMPUTED_VALUE"""),231127.0)</f>
        <v>231127</v>
      </c>
      <c r="B39" s="5" t="str">
        <f>IFERROR(__xludf.DUMMYFUNCTION("""COMPUTED_VALUE"""),"堀井 聡一朗")</f>
        <v>堀井 聡一朗</v>
      </c>
      <c r="C39" s="5" t="str">
        <f>IFERROR(__xludf.DUMMYFUNCTION("""COMPUTED_VALUE"""),"ほりい そういちろう")</f>
        <v>ほりい そういちろう</v>
      </c>
      <c r="D39" s="5">
        <f>IFERROR(__xludf.DUMMYFUNCTION("""COMPUTED_VALUE"""),2.0)</f>
        <v>2</v>
      </c>
      <c r="E39" s="5" t="str">
        <f>IFERROR(__xludf.DUMMYFUNCTION("""COMPUTED_VALUE"""),"男")</f>
        <v>男</v>
      </c>
      <c r="F39" s="5" t="str">
        <f>IFERROR(__xludf.DUMMYFUNCTION("""COMPUTED_VALUE"""),"MUA")</f>
        <v>MUA</v>
      </c>
      <c r="G39" s="5" t="str">
        <f>IFERROR(__xludf.DUMMYFUNCTION("""COMPUTED_VALUE"""),"○出場")</f>
        <v>○出場</v>
      </c>
      <c r="H39" s="5">
        <f>IFERROR(__xludf.DUMMYFUNCTION("""COMPUTED_VALUE"""),524971.0)</f>
        <v>524971</v>
      </c>
      <c r="I39" s="5" t="str">
        <f>IFERROR(__xludf.DUMMYFUNCTION("""COMPUTED_VALUE"""),"○参加する")</f>
        <v>○参加する</v>
      </c>
      <c r="J39" s="5"/>
      <c r="K39" s="12">
        <f t="shared" si="2"/>
        <v>1</v>
      </c>
    </row>
    <row r="40" ht="19.5" customHeight="1">
      <c r="A40" s="5">
        <f>IFERROR(__xludf.DUMMYFUNCTION("""COMPUTED_VALUE"""),231128.0)</f>
        <v>231128</v>
      </c>
      <c r="B40" s="5" t="str">
        <f>IFERROR(__xludf.DUMMYFUNCTION("""COMPUTED_VALUE"""),"三浦 花梨")</f>
        <v>三浦 花梨</v>
      </c>
      <c r="C40" s="5" t="str">
        <f>IFERROR(__xludf.DUMMYFUNCTION("""COMPUTED_VALUE"""),"みうら かりん")</f>
        <v>みうら かりん</v>
      </c>
      <c r="D40" s="5">
        <f>IFERROR(__xludf.DUMMYFUNCTION("""COMPUTED_VALUE"""),2.0)</f>
        <v>2</v>
      </c>
      <c r="E40" s="5" t="str">
        <f>IFERROR(__xludf.DUMMYFUNCTION("""COMPUTED_VALUE"""),"女")</f>
        <v>女</v>
      </c>
      <c r="F40" s="5" t="str">
        <f>IFERROR(__xludf.DUMMYFUNCTION("""COMPUTED_VALUE"""),"×欠場")</f>
        <v>×欠場</v>
      </c>
      <c r="G40" s="5" t="str">
        <f>IFERROR(__xludf.DUMMYFUNCTION("""COMPUTED_VALUE"""),"×欠場")</f>
        <v>×欠場</v>
      </c>
      <c r="H40" s="5"/>
      <c r="I40" s="5" t="str">
        <f>IFERROR(__xludf.DUMMYFUNCTION("""COMPUTED_VALUE"""),"×参加しない")</f>
        <v>×参加しない</v>
      </c>
      <c r="J40" s="5"/>
      <c r="K40" s="12">
        <f t="shared" si="2"/>
        <v>0</v>
      </c>
    </row>
    <row r="41" ht="19.5" customHeight="1">
      <c r="A41" s="5">
        <f>IFERROR(__xludf.DUMMYFUNCTION("""COMPUTED_VALUE"""),231130.0)</f>
        <v>231130</v>
      </c>
      <c r="B41" s="5" t="str">
        <f>IFERROR(__xludf.DUMMYFUNCTION("""COMPUTED_VALUE"""),"山本 有里也")</f>
        <v>山本 有里也</v>
      </c>
      <c r="C41" s="5" t="str">
        <f>IFERROR(__xludf.DUMMYFUNCTION("""COMPUTED_VALUE"""),"やまもと ゆりや")</f>
        <v>やまもと ゆりや</v>
      </c>
      <c r="D41" s="5">
        <f>IFERROR(__xludf.DUMMYFUNCTION("""COMPUTED_VALUE"""),2.0)</f>
        <v>2</v>
      </c>
      <c r="E41" s="5" t="str">
        <f>IFERROR(__xludf.DUMMYFUNCTION("""COMPUTED_VALUE"""),"男")</f>
        <v>男</v>
      </c>
      <c r="F41" s="5" t="str">
        <f>IFERROR(__xludf.DUMMYFUNCTION("""COMPUTED_VALUE"""),"×欠場")</f>
        <v>×欠場</v>
      </c>
      <c r="G41" s="5" t="str">
        <f>IFERROR(__xludf.DUMMYFUNCTION("""COMPUTED_VALUE"""),"×欠場")</f>
        <v>×欠場</v>
      </c>
      <c r="H41" s="5"/>
      <c r="I41" s="5" t="str">
        <f>IFERROR(__xludf.DUMMYFUNCTION("""COMPUTED_VALUE"""),"×参加しない")</f>
        <v>×参加しない</v>
      </c>
      <c r="J41" s="5"/>
      <c r="K41" s="12">
        <f t="shared" si="2"/>
        <v>0</v>
      </c>
    </row>
    <row r="42" ht="19.5" customHeight="1">
      <c r="A42" s="5">
        <f>IFERROR(__xludf.DUMMYFUNCTION("""COMPUTED_VALUE"""),231134.0)</f>
        <v>231134</v>
      </c>
      <c r="B42" s="5" t="str">
        <f>IFERROR(__xludf.DUMMYFUNCTION("""COMPUTED_VALUE"""),"山本 佳奈")</f>
        <v>山本 佳奈</v>
      </c>
      <c r="C42" s="5" t="str">
        <f>IFERROR(__xludf.DUMMYFUNCTION("""COMPUTED_VALUE"""),"やまもと かな")</f>
        <v>やまもと かな</v>
      </c>
      <c r="D42" s="5">
        <f>IFERROR(__xludf.DUMMYFUNCTION("""COMPUTED_VALUE"""),2.0)</f>
        <v>2</v>
      </c>
      <c r="E42" s="5" t="str">
        <f>IFERROR(__xludf.DUMMYFUNCTION("""COMPUTED_VALUE"""),"女")</f>
        <v>女</v>
      </c>
      <c r="F42" s="5" t="str">
        <f>IFERROR(__xludf.DUMMYFUNCTION("""COMPUTED_VALUE"""),"WUA")</f>
        <v>WUA</v>
      </c>
      <c r="G42" s="5" t="str">
        <f>IFERROR(__xludf.DUMMYFUNCTION("""COMPUTED_VALUE"""),"○出場")</f>
        <v>○出場</v>
      </c>
      <c r="H42" s="5">
        <f>IFERROR(__xludf.DUMMYFUNCTION("""COMPUTED_VALUE"""),524975.0)</f>
        <v>524975</v>
      </c>
      <c r="I42" s="5" t="str">
        <f>IFERROR(__xludf.DUMMYFUNCTION("""COMPUTED_VALUE"""),"○参加する")</f>
        <v>○参加する</v>
      </c>
      <c r="J42" s="5"/>
      <c r="K42" s="12">
        <f t="shared" si="2"/>
        <v>1</v>
      </c>
    </row>
    <row r="43" ht="19.5" customHeight="1">
      <c r="A43" s="5">
        <f>IFERROR(__xludf.DUMMYFUNCTION("""COMPUTED_VALUE"""),231135.0)</f>
        <v>231135</v>
      </c>
      <c r="B43" s="5" t="str">
        <f>IFERROR(__xludf.DUMMYFUNCTION("""COMPUTED_VALUE"""),"米富 健人")</f>
        <v>米富 健人</v>
      </c>
      <c r="C43" s="5" t="str">
        <f>IFERROR(__xludf.DUMMYFUNCTION("""COMPUTED_VALUE"""),"よねとみけんと")</f>
        <v>よねとみけんと</v>
      </c>
      <c r="D43" s="5">
        <f>IFERROR(__xludf.DUMMYFUNCTION("""COMPUTED_VALUE"""),2.0)</f>
        <v>2</v>
      </c>
      <c r="E43" s="5" t="str">
        <f>IFERROR(__xludf.DUMMYFUNCTION("""COMPUTED_VALUE"""),"男")</f>
        <v>男</v>
      </c>
      <c r="F43" s="5" t="str">
        <f>IFERROR(__xludf.DUMMYFUNCTION("""COMPUTED_VALUE"""),"×欠場")</f>
        <v>×欠場</v>
      </c>
      <c r="G43" s="5" t="str">
        <f>IFERROR(__xludf.DUMMYFUNCTION("""COMPUTED_VALUE"""),"×欠場")</f>
        <v>×欠場</v>
      </c>
      <c r="H43" s="5"/>
      <c r="I43" s="5" t="str">
        <f>IFERROR(__xludf.DUMMYFUNCTION("""COMPUTED_VALUE"""),"×参加しない")</f>
        <v>×参加しない</v>
      </c>
      <c r="J43" s="5"/>
      <c r="K43" s="12">
        <f t="shared" si="2"/>
        <v>0</v>
      </c>
    </row>
    <row r="44" ht="19.5" customHeight="1">
      <c r="A44" s="5">
        <f>IFERROR(__xludf.DUMMYFUNCTION("""COMPUTED_VALUE"""),131101.0)</f>
        <v>131101</v>
      </c>
      <c r="B44" s="5" t="str">
        <f>IFERROR(__xludf.DUMMYFUNCTION("""COMPUTED_VALUE"""),"大塚誠也")</f>
        <v>大塚誠也</v>
      </c>
      <c r="C44" s="5" t="str">
        <f>IFERROR(__xludf.DUMMYFUNCTION("""COMPUTED_VALUE"""),"おおつかせいや")</f>
        <v>おおつかせいや</v>
      </c>
      <c r="D44" s="5">
        <f>IFERROR(__xludf.DUMMYFUNCTION("""COMPUTED_VALUE"""),3.0)</f>
        <v>3</v>
      </c>
      <c r="E44" s="5" t="str">
        <f>IFERROR(__xludf.DUMMYFUNCTION("""COMPUTED_VALUE"""),"男")</f>
        <v>男</v>
      </c>
      <c r="F44" s="5" t="str">
        <f>IFERROR(__xludf.DUMMYFUNCTION("""COMPUTED_VALUE"""),"MUA")</f>
        <v>MUA</v>
      </c>
      <c r="G44" s="5" t="str">
        <f>IFERROR(__xludf.DUMMYFUNCTION("""COMPUTED_VALUE"""),"○出場")</f>
        <v>○出場</v>
      </c>
      <c r="H44" s="5">
        <f>IFERROR(__xludf.DUMMYFUNCTION("""COMPUTED_VALUE"""),519521.0)</f>
        <v>519521</v>
      </c>
      <c r="I44" s="5" t="str">
        <f>IFERROR(__xludf.DUMMYFUNCTION("""COMPUTED_VALUE"""),"×参加しない")</f>
        <v>×参加しない</v>
      </c>
      <c r="J44" s="5"/>
      <c r="K44" s="12">
        <f t="shared" si="2"/>
        <v>1</v>
      </c>
    </row>
    <row r="45" ht="19.5" customHeight="1">
      <c r="A45" s="5">
        <f>IFERROR(__xludf.DUMMYFUNCTION("""COMPUTED_VALUE"""),131103.0)</f>
        <v>131103</v>
      </c>
      <c r="B45" s="5" t="str">
        <f>IFERROR(__xludf.DUMMYFUNCTION("""COMPUTED_VALUE"""),"渡部司")</f>
        <v>渡部司</v>
      </c>
      <c r="C45" s="5" t="str">
        <f>IFERROR(__xludf.DUMMYFUNCTION("""COMPUTED_VALUE"""),"わたなべつかさ")</f>
        <v>わたなべつかさ</v>
      </c>
      <c r="D45" s="5">
        <f>IFERROR(__xludf.DUMMYFUNCTION("""COMPUTED_VALUE"""),3.0)</f>
        <v>3</v>
      </c>
      <c r="E45" s="5" t="str">
        <f>IFERROR(__xludf.DUMMYFUNCTION("""COMPUTED_VALUE"""),"男")</f>
        <v>男</v>
      </c>
      <c r="F45" s="5" t="str">
        <f>IFERROR(__xludf.DUMMYFUNCTION("""COMPUTED_VALUE"""),"×欠場")</f>
        <v>×欠場</v>
      </c>
      <c r="G45" s="5" t="str">
        <f>IFERROR(__xludf.DUMMYFUNCTION("""COMPUTED_VALUE"""),"×欠場")</f>
        <v>×欠場</v>
      </c>
      <c r="H45" s="5"/>
      <c r="I45" s="5" t="str">
        <f>IFERROR(__xludf.DUMMYFUNCTION("""COMPUTED_VALUE"""),"×参加しない")</f>
        <v>×参加しない</v>
      </c>
      <c r="J45" s="5"/>
      <c r="K45" s="12">
        <f t="shared" si="2"/>
        <v>0</v>
      </c>
    </row>
    <row r="46" ht="19.5" customHeight="1">
      <c r="A46" s="5">
        <f>IFERROR(__xludf.DUMMYFUNCTION("""COMPUTED_VALUE"""),131104.0)</f>
        <v>131104</v>
      </c>
      <c r="B46" s="5" t="str">
        <f>IFERROR(__xludf.DUMMYFUNCTION("""COMPUTED_VALUE"""),"宮川葵衣")</f>
        <v>宮川葵衣</v>
      </c>
      <c r="C46" s="5" t="str">
        <f>IFERROR(__xludf.DUMMYFUNCTION("""COMPUTED_VALUE"""),"みやかわあおい")</f>
        <v>みやかわあおい</v>
      </c>
      <c r="D46" s="5">
        <f>IFERROR(__xludf.DUMMYFUNCTION("""COMPUTED_VALUE"""),3.0)</f>
        <v>3</v>
      </c>
      <c r="E46" s="5" t="str">
        <f>IFERROR(__xludf.DUMMYFUNCTION("""COMPUTED_VALUE"""),"女")</f>
        <v>女</v>
      </c>
      <c r="F46" s="5" t="str">
        <f>IFERROR(__xludf.DUMMYFUNCTION("""COMPUTED_VALUE"""),"WUA")</f>
        <v>WUA</v>
      </c>
      <c r="G46" s="5" t="str">
        <f>IFERROR(__xludf.DUMMYFUNCTION("""COMPUTED_VALUE"""),"○出場")</f>
        <v>○出場</v>
      </c>
      <c r="H46" s="5">
        <f>IFERROR(__xludf.DUMMYFUNCTION("""COMPUTED_VALUE"""),519372.0)</f>
        <v>519372</v>
      </c>
      <c r="I46" s="5" t="str">
        <f>IFERROR(__xludf.DUMMYFUNCTION("""COMPUTED_VALUE"""),"○参加する")</f>
        <v>○参加する</v>
      </c>
      <c r="J46" s="5"/>
      <c r="K46" s="12">
        <f t="shared" si="2"/>
        <v>1</v>
      </c>
    </row>
    <row r="47" ht="19.5" customHeight="1">
      <c r="A47" s="5">
        <f>IFERROR(__xludf.DUMMYFUNCTION("""COMPUTED_VALUE"""),131105.0)</f>
        <v>131105</v>
      </c>
      <c r="B47" s="5" t="str">
        <f>IFERROR(__xludf.DUMMYFUNCTION("""COMPUTED_VALUE"""),"浦中美里")</f>
        <v>浦中美里</v>
      </c>
      <c r="C47" s="5" t="str">
        <f>IFERROR(__xludf.DUMMYFUNCTION("""COMPUTED_VALUE"""),"うらなかみさと")</f>
        <v>うらなかみさと</v>
      </c>
      <c r="D47" s="5">
        <f>IFERROR(__xludf.DUMMYFUNCTION("""COMPUTED_VALUE"""),3.0)</f>
        <v>3</v>
      </c>
      <c r="E47" s="5" t="str">
        <f>IFERROR(__xludf.DUMMYFUNCTION("""COMPUTED_VALUE"""),"女")</f>
        <v>女</v>
      </c>
      <c r="F47" s="5" t="str">
        <f>IFERROR(__xludf.DUMMYFUNCTION("""COMPUTED_VALUE"""),"WUA")</f>
        <v>WUA</v>
      </c>
      <c r="G47" s="5" t="str">
        <f>IFERROR(__xludf.DUMMYFUNCTION("""COMPUTED_VALUE"""),"○出場")</f>
        <v>○出場</v>
      </c>
      <c r="H47" s="5">
        <f>IFERROR(__xludf.DUMMYFUNCTION("""COMPUTED_VALUE"""),519530.0)</f>
        <v>519530</v>
      </c>
      <c r="I47" s="5" t="str">
        <f>IFERROR(__xludf.DUMMYFUNCTION("""COMPUTED_VALUE"""),"○参加する")</f>
        <v>○参加する</v>
      </c>
      <c r="J47" s="5"/>
      <c r="K47" s="12">
        <f t="shared" si="2"/>
        <v>1</v>
      </c>
    </row>
    <row r="48" ht="19.5" customHeight="1">
      <c r="A48" s="5">
        <f>IFERROR(__xludf.DUMMYFUNCTION("""COMPUTED_VALUE"""),131106.0)</f>
        <v>131106</v>
      </c>
      <c r="B48" s="5" t="str">
        <f>IFERROR(__xludf.DUMMYFUNCTION("""COMPUTED_VALUE"""),"京井亮太")</f>
        <v>京井亮太</v>
      </c>
      <c r="C48" s="5" t="str">
        <f>IFERROR(__xludf.DUMMYFUNCTION("""COMPUTED_VALUE"""),"きょういりょうた")</f>
        <v>きょういりょうた</v>
      </c>
      <c r="D48" s="5">
        <f>IFERROR(__xludf.DUMMYFUNCTION("""COMPUTED_VALUE"""),3.0)</f>
        <v>3</v>
      </c>
      <c r="E48" s="5" t="str">
        <f>IFERROR(__xludf.DUMMYFUNCTION("""COMPUTED_VALUE"""),"男")</f>
        <v>男</v>
      </c>
      <c r="F48" s="5" t="str">
        <f>IFERROR(__xludf.DUMMYFUNCTION("""COMPUTED_VALUE"""),"×欠場")</f>
        <v>×欠場</v>
      </c>
      <c r="G48" s="5" t="str">
        <f>IFERROR(__xludf.DUMMYFUNCTION("""COMPUTED_VALUE"""),"×欠場")</f>
        <v>×欠場</v>
      </c>
      <c r="H48" s="5"/>
      <c r="I48" s="5" t="str">
        <f>IFERROR(__xludf.DUMMYFUNCTION("""COMPUTED_VALUE"""),"×参加しない")</f>
        <v>×参加しない</v>
      </c>
      <c r="J48" s="5"/>
      <c r="K48" s="12">
        <f t="shared" si="2"/>
        <v>0</v>
      </c>
    </row>
    <row r="49" ht="19.5" customHeight="1">
      <c r="A49" s="5">
        <f>IFERROR(__xludf.DUMMYFUNCTION("""COMPUTED_VALUE"""),131108.0)</f>
        <v>131108</v>
      </c>
      <c r="B49" s="5" t="str">
        <f>IFERROR(__xludf.DUMMYFUNCTION("""COMPUTED_VALUE"""),"佐野晴也")</f>
        <v>佐野晴也</v>
      </c>
      <c r="C49" s="5" t="str">
        <f>IFERROR(__xludf.DUMMYFUNCTION("""COMPUTED_VALUE"""),"さのはるや")</f>
        <v>さのはるや</v>
      </c>
      <c r="D49" s="5">
        <f>IFERROR(__xludf.DUMMYFUNCTION("""COMPUTED_VALUE"""),3.0)</f>
        <v>3</v>
      </c>
      <c r="E49" s="5" t="str">
        <f>IFERROR(__xludf.DUMMYFUNCTION("""COMPUTED_VALUE"""),"男")</f>
        <v>男</v>
      </c>
      <c r="F49" s="5" t="str">
        <f>IFERROR(__xludf.DUMMYFUNCTION("""COMPUTED_VALUE"""),"×欠場")</f>
        <v>×欠場</v>
      </c>
      <c r="G49" s="5" t="str">
        <f>IFERROR(__xludf.DUMMYFUNCTION("""COMPUTED_VALUE"""),"×欠場")</f>
        <v>×欠場</v>
      </c>
      <c r="H49" s="5"/>
      <c r="I49" s="5" t="str">
        <f>IFERROR(__xludf.DUMMYFUNCTION("""COMPUTED_VALUE"""),"×参加しない")</f>
        <v>×参加しない</v>
      </c>
      <c r="J49" s="5"/>
      <c r="K49" s="12">
        <f t="shared" si="2"/>
        <v>0</v>
      </c>
    </row>
    <row r="50" ht="19.5" customHeight="1">
      <c r="A50" s="5">
        <f>IFERROR(__xludf.DUMMYFUNCTION("""COMPUTED_VALUE"""),131109.0)</f>
        <v>131109</v>
      </c>
      <c r="B50" s="5" t="str">
        <f>IFERROR(__xludf.DUMMYFUNCTION("""COMPUTED_VALUE"""),"根本浩平")</f>
        <v>根本浩平</v>
      </c>
      <c r="C50" s="5" t="str">
        <f>IFERROR(__xludf.DUMMYFUNCTION("""COMPUTED_VALUE"""),"ねもとこうへい")</f>
        <v>ねもとこうへい</v>
      </c>
      <c r="D50" s="5">
        <f>IFERROR(__xludf.DUMMYFUNCTION("""COMPUTED_VALUE"""),3.0)</f>
        <v>3</v>
      </c>
      <c r="E50" s="5" t="str">
        <f>IFERROR(__xludf.DUMMYFUNCTION("""COMPUTED_VALUE"""),"男")</f>
        <v>男</v>
      </c>
      <c r="F50" s="5" t="str">
        <f>IFERROR(__xludf.DUMMYFUNCTION("""COMPUTED_VALUE"""),"MUA")</f>
        <v>MUA</v>
      </c>
      <c r="G50" s="5" t="str">
        <f>IFERROR(__xludf.DUMMYFUNCTION("""COMPUTED_VALUE"""),"○出場")</f>
        <v>○出場</v>
      </c>
      <c r="H50" s="5">
        <f>IFERROR(__xludf.DUMMYFUNCTION("""COMPUTED_VALUE"""),519534.0)</f>
        <v>519534</v>
      </c>
      <c r="I50" s="5" t="str">
        <f>IFERROR(__xludf.DUMMYFUNCTION("""COMPUTED_VALUE"""),"○参加する")</f>
        <v>○参加する</v>
      </c>
      <c r="J50" s="5"/>
      <c r="K50" s="12">
        <f t="shared" si="2"/>
        <v>1</v>
      </c>
    </row>
    <row r="51" ht="19.5" customHeight="1">
      <c r="A51" s="5">
        <f>IFERROR(__xludf.DUMMYFUNCTION("""COMPUTED_VALUE"""),131111.0)</f>
        <v>131111</v>
      </c>
      <c r="B51" s="5" t="str">
        <f>IFERROR(__xludf.DUMMYFUNCTION("""COMPUTED_VALUE"""),"黒田志音")</f>
        <v>黒田志音</v>
      </c>
      <c r="C51" s="5" t="str">
        <f>IFERROR(__xludf.DUMMYFUNCTION("""COMPUTED_VALUE"""),"くろだしおん")</f>
        <v>くろだしおん</v>
      </c>
      <c r="D51" s="5">
        <f>IFERROR(__xludf.DUMMYFUNCTION("""COMPUTED_VALUE"""),3.0)</f>
        <v>3</v>
      </c>
      <c r="E51" s="5" t="str">
        <f>IFERROR(__xludf.DUMMYFUNCTION("""COMPUTED_VALUE"""),"男")</f>
        <v>男</v>
      </c>
      <c r="F51" s="5" t="str">
        <f>IFERROR(__xludf.DUMMYFUNCTION("""COMPUTED_VALUE"""),"MUA")</f>
        <v>MUA</v>
      </c>
      <c r="G51" s="5" t="str">
        <f>IFERROR(__xludf.DUMMYFUNCTION("""COMPUTED_VALUE"""),"○出場")</f>
        <v>○出場</v>
      </c>
      <c r="H51" s="5">
        <f>IFERROR(__xludf.DUMMYFUNCTION("""COMPUTED_VALUE"""),519527.0)</f>
        <v>519527</v>
      </c>
      <c r="I51" s="5" t="str">
        <f>IFERROR(__xludf.DUMMYFUNCTION("""COMPUTED_VALUE"""),"○参加する")</f>
        <v>○参加する</v>
      </c>
      <c r="J51" s="5"/>
      <c r="K51" s="12">
        <f t="shared" si="2"/>
        <v>1</v>
      </c>
    </row>
    <row r="52" ht="19.5" customHeight="1">
      <c r="A52" s="5">
        <f>IFERROR(__xludf.DUMMYFUNCTION("""COMPUTED_VALUE"""),131112.0)</f>
        <v>131112</v>
      </c>
      <c r="B52" s="5" t="str">
        <f>IFERROR(__xludf.DUMMYFUNCTION("""COMPUTED_VALUE"""),"河崎崇広")</f>
        <v>河崎崇広</v>
      </c>
      <c r="C52" s="5" t="str">
        <f>IFERROR(__xludf.DUMMYFUNCTION("""COMPUTED_VALUE"""),"かわさきたかひろ")</f>
        <v>かわさきたかひろ</v>
      </c>
      <c r="D52" s="5">
        <f>IFERROR(__xludf.DUMMYFUNCTION("""COMPUTED_VALUE"""),3.0)</f>
        <v>3</v>
      </c>
      <c r="E52" s="5" t="str">
        <f>IFERROR(__xludf.DUMMYFUNCTION("""COMPUTED_VALUE"""),"男")</f>
        <v>男</v>
      </c>
      <c r="F52" s="5" t="str">
        <f>IFERROR(__xludf.DUMMYFUNCTION("""COMPUTED_VALUE"""),"×欠場")</f>
        <v>×欠場</v>
      </c>
      <c r="G52" s="5" t="str">
        <f>IFERROR(__xludf.DUMMYFUNCTION("""COMPUTED_VALUE"""),"×欠場")</f>
        <v>×欠場</v>
      </c>
      <c r="H52" s="5"/>
      <c r="I52" s="5" t="str">
        <f>IFERROR(__xludf.DUMMYFUNCTION("""COMPUTED_VALUE"""),"×参加しない")</f>
        <v>×参加しない</v>
      </c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8.89"/>
    <col customWidth="1" min="2" max="2" width="18.56"/>
    <col customWidth="1" min="3" max="3" width="7.56"/>
    <col customWidth="1" min="4" max="4" width="9.0"/>
    <col customWidth="1" min="5" max="5" width="13.33"/>
    <col customWidth="1" min="6" max="6" width="7.56"/>
    <col customWidth="1" min="7" max="9" width="6.33"/>
    <col customWidth="1" min="10" max="10" width="9.11"/>
    <col customWidth="1" min="11" max="11" width="18.78"/>
    <col customWidth="1" min="12" max="26" width="10.44"/>
  </cols>
  <sheetData>
    <row r="1" ht="18.0" customHeight="1">
      <c r="A1" s="21" t="s">
        <v>45</v>
      </c>
      <c r="B1" s="22" t="s">
        <v>46</v>
      </c>
      <c r="C1" s="22" t="s">
        <v>15</v>
      </c>
      <c r="D1" s="22" t="s">
        <v>16</v>
      </c>
      <c r="E1" s="22" t="s">
        <v>17</v>
      </c>
      <c r="F1" s="22" t="s">
        <v>18</v>
      </c>
      <c r="G1" s="22" t="s">
        <v>19</v>
      </c>
      <c r="H1" s="22" t="s">
        <v>20</v>
      </c>
      <c r="I1" s="22" t="s">
        <v>21</v>
      </c>
      <c r="J1" s="22" t="s">
        <v>22</v>
      </c>
      <c r="K1" s="23" t="s">
        <v>47</v>
      </c>
      <c r="L1" s="24" t="s">
        <v>48</v>
      </c>
      <c r="M1" s="25" t="s">
        <v>49</v>
      </c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ht="18.0" customHeight="1">
      <c r="A2" s="27">
        <v>101.0</v>
      </c>
      <c r="B2" s="28" t="s">
        <v>0</v>
      </c>
      <c r="C2" s="28">
        <v>310101.0</v>
      </c>
      <c r="D2" s="28" t="s">
        <v>50</v>
      </c>
      <c r="E2" s="28" t="s">
        <v>51</v>
      </c>
      <c r="F2" s="28">
        <v>1.0</v>
      </c>
      <c r="G2" s="28" t="s">
        <v>41</v>
      </c>
      <c r="H2" s="28" t="s">
        <v>52</v>
      </c>
      <c r="I2" s="28" t="s">
        <v>53</v>
      </c>
      <c r="J2" s="28"/>
      <c r="K2" s="29" t="s">
        <v>54</v>
      </c>
      <c r="L2" s="26"/>
      <c r="M2" s="25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ht="18.0" customHeight="1">
      <c r="A3" s="27">
        <v>101.0</v>
      </c>
      <c r="B3" s="28" t="s">
        <v>0</v>
      </c>
      <c r="C3" s="28">
        <v>310102.0</v>
      </c>
      <c r="D3" s="28" t="s">
        <v>55</v>
      </c>
      <c r="E3" s="28" t="s">
        <v>56</v>
      </c>
      <c r="F3" s="28">
        <v>1.0</v>
      </c>
      <c r="G3" s="28" t="s">
        <v>41</v>
      </c>
      <c r="H3" s="28" t="s">
        <v>57</v>
      </c>
      <c r="I3" s="28" t="s">
        <v>57</v>
      </c>
      <c r="J3" s="28"/>
      <c r="K3" s="29" t="s">
        <v>58</v>
      </c>
      <c r="L3" s="26"/>
      <c r="M3" s="25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ht="18.0" customHeight="1">
      <c r="A4" s="27">
        <v>101.0</v>
      </c>
      <c r="B4" s="28" t="s">
        <v>0</v>
      </c>
      <c r="C4" s="28">
        <v>310103.0</v>
      </c>
      <c r="D4" s="28" t="s">
        <v>59</v>
      </c>
      <c r="E4" s="28" t="s">
        <v>60</v>
      </c>
      <c r="F4" s="28">
        <v>1.0</v>
      </c>
      <c r="G4" s="28" t="s">
        <v>44</v>
      </c>
      <c r="H4" s="28" t="s">
        <v>61</v>
      </c>
      <c r="I4" s="28" t="s">
        <v>53</v>
      </c>
      <c r="J4" s="28"/>
      <c r="K4" s="29" t="s">
        <v>54</v>
      </c>
      <c r="L4" s="26"/>
      <c r="M4" s="25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ht="18.0" customHeight="1">
      <c r="A5" s="27">
        <v>101.0</v>
      </c>
      <c r="B5" s="28" t="s">
        <v>0</v>
      </c>
      <c r="C5" s="28">
        <v>310104.0</v>
      </c>
      <c r="D5" s="28" t="s">
        <v>62</v>
      </c>
      <c r="E5" s="28" t="s">
        <v>63</v>
      </c>
      <c r="F5" s="28">
        <v>1.0</v>
      </c>
      <c r="G5" s="28" t="s">
        <v>44</v>
      </c>
      <c r="H5" s="28" t="s">
        <v>61</v>
      </c>
      <c r="I5" s="28" t="s">
        <v>53</v>
      </c>
      <c r="J5" s="28"/>
      <c r="K5" s="29" t="s">
        <v>54</v>
      </c>
      <c r="L5" s="26"/>
      <c r="M5" s="25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ht="18.0" customHeight="1">
      <c r="A6" s="27">
        <v>101.0</v>
      </c>
      <c r="B6" s="28" t="s">
        <v>0</v>
      </c>
      <c r="C6" s="28">
        <v>310105.0</v>
      </c>
      <c r="D6" s="28" t="s">
        <v>64</v>
      </c>
      <c r="E6" s="28" t="s">
        <v>65</v>
      </c>
      <c r="F6" s="28">
        <v>1.0</v>
      </c>
      <c r="G6" s="28" t="s">
        <v>41</v>
      </c>
      <c r="H6" s="28" t="s">
        <v>52</v>
      </c>
      <c r="I6" s="28" t="s">
        <v>53</v>
      </c>
      <c r="J6" s="28"/>
      <c r="K6" s="29" t="s">
        <v>54</v>
      </c>
      <c r="L6" s="26"/>
      <c r="M6" s="25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ht="18.0" customHeight="1">
      <c r="A7" s="27">
        <v>101.0</v>
      </c>
      <c r="B7" s="28" t="s">
        <v>0</v>
      </c>
      <c r="C7" s="28">
        <v>310106.0</v>
      </c>
      <c r="D7" s="28" t="s">
        <v>66</v>
      </c>
      <c r="E7" s="28" t="s">
        <v>67</v>
      </c>
      <c r="F7" s="28">
        <v>1.0</v>
      </c>
      <c r="G7" s="28" t="s">
        <v>44</v>
      </c>
      <c r="H7" s="28" t="s">
        <v>57</v>
      </c>
      <c r="I7" s="28" t="s">
        <v>57</v>
      </c>
      <c r="J7" s="28"/>
      <c r="K7" s="29" t="s">
        <v>58</v>
      </c>
      <c r="L7" s="26"/>
      <c r="M7" s="25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ht="18.0" customHeight="1">
      <c r="A8" s="27">
        <v>101.0</v>
      </c>
      <c r="B8" s="28" t="s">
        <v>0</v>
      </c>
      <c r="C8" s="28">
        <v>310107.0</v>
      </c>
      <c r="D8" s="28" t="s">
        <v>68</v>
      </c>
      <c r="E8" s="28" t="s">
        <v>69</v>
      </c>
      <c r="F8" s="28">
        <v>1.0</v>
      </c>
      <c r="G8" s="28" t="s">
        <v>41</v>
      </c>
      <c r="H8" s="28" t="s">
        <v>52</v>
      </c>
      <c r="I8" s="28" t="s">
        <v>53</v>
      </c>
      <c r="J8" s="28"/>
      <c r="K8" s="29" t="s">
        <v>54</v>
      </c>
      <c r="L8" s="26"/>
      <c r="M8" s="25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ht="18.0" customHeight="1">
      <c r="A9" s="27">
        <v>101.0</v>
      </c>
      <c r="B9" s="28" t="s">
        <v>0</v>
      </c>
      <c r="C9" s="28">
        <v>310108.0</v>
      </c>
      <c r="D9" s="28" t="s">
        <v>70</v>
      </c>
      <c r="E9" s="28" t="s">
        <v>71</v>
      </c>
      <c r="F9" s="28">
        <v>1.0</v>
      </c>
      <c r="G9" s="28" t="s">
        <v>41</v>
      </c>
      <c r="H9" s="28" t="s">
        <v>57</v>
      </c>
      <c r="I9" s="28" t="s">
        <v>57</v>
      </c>
      <c r="J9" s="28"/>
      <c r="K9" s="29" t="s">
        <v>58</v>
      </c>
      <c r="L9" s="26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ht="18.0" customHeight="1">
      <c r="A10" s="27">
        <v>101.0</v>
      </c>
      <c r="B10" s="28" t="s">
        <v>0</v>
      </c>
      <c r="C10" s="28">
        <v>310109.0</v>
      </c>
      <c r="D10" s="28" t="s">
        <v>72</v>
      </c>
      <c r="E10" s="28" t="s">
        <v>73</v>
      </c>
      <c r="F10" s="28">
        <v>1.0</v>
      </c>
      <c r="G10" s="28" t="s">
        <v>41</v>
      </c>
      <c r="H10" s="28" t="s">
        <v>57</v>
      </c>
      <c r="I10" s="28" t="s">
        <v>57</v>
      </c>
      <c r="J10" s="28"/>
      <c r="K10" s="29" t="s">
        <v>58</v>
      </c>
      <c r="L10" s="26"/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ht="18.0" customHeight="1">
      <c r="A11" s="27">
        <v>101.0</v>
      </c>
      <c r="B11" s="28" t="s">
        <v>0</v>
      </c>
      <c r="C11" s="28">
        <v>310110.0</v>
      </c>
      <c r="D11" s="28" t="s">
        <v>74</v>
      </c>
      <c r="E11" s="28" t="s">
        <v>75</v>
      </c>
      <c r="F11" s="28">
        <v>1.0</v>
      </c>
      <c r="G11" s="28" t="s">
        <v>41</v>
      </c>
      <c r="H11" s="28" t="s">
        <v>57</v>
      </c>
      <c r="I11" s="28" t="s">
        <v>57</v>
      </c>
      <c r="J11" s="28"/>
      <c r="K11" s="29" t="s">
        <v>58</v>
      </c>
      <c r="L11" s="26"/>
      <c r="M11" s="25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ht="18.0" customHeight="1">
      <c r="A12" s="27">
        <v>101.0</v>
      </c>
      <c r="B12" s="28" t="s">
        <v>0</v>
      </c>
      <c r="C12" s="28">
        <v>310111.0</v>
      </c>
      <c r="D12" s="28" t="s">
        <v>76</v>
      </c>
      <c r="E12" s="28" t="s">
        <v>77</v>
      </c>
      <c r="F12" s="28">
        <v>1.0</v>
      </c>
      <c r="G12" s="28" t="s">
        <v>41</v>
      </c>
      <c r="H12" s="28" t="s">
        <v>52</v>
      </c>
      <c r="I12" s="28" t="s">
        <v>53</v>
      </c>
      <c r="J12" s="28"/>
      <c r="K12" s="29" t="s">
        <v>54</v>
      </c>
      <c r="L12" s="26"/>
      <c r="M12" s="25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ht="18.0" customHeight="1">
      <c r="A13" s="27">
        <v>101.0</v>
      </c>
      <c r="B13" s="28" t="s">
        <v>0</v>
      </c>
      <c r="C13" s="28">
        <v>310112.0</v>
      </c>
      <c r="D13" s="28" t="s">
        <v>78</v>
      </c>
      <c r="E13" s="28" t="s">
        <v>79</v>
      </c>
      <c r="F13" s="28">
        <v>1.0</v>
      </c>
      <c r="G13" s="28" t="s">
        <v>41</v>
      </c>
      <c r="H13" s="28" t="s">
        <v>57</v>
      </c>
      <c r="I13" s="28" t="s">
        <v>57</v>
      </c>
      <c r="J13" s="28"/>
      <c r="K13" s="29" t="s">
        <v>58</v>
      </c>
      <c r="L13" s="26"/>
      <c r="M13" s="25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ht="18.0" customHeight="1">
      <c r="A14" s="27">
        <v>101.0</v>
      </c>
      <c r="B14" s="28" t="s">
        <v>0</v>
      </c>
      <c r="C14" s="28">
        <v>310113.0</v>
      </c>
      <c r="D14" s="28" t="s">
        <v>80</v>
      </c>
      <c r="E14" s="28" t="s">
        <v>81</v>
      </c>
      <c r="F14" s="28">
        <v>1.0</v>
      </c>
      <c r="G14" s="28" t="s">
        <v>41</v>
      </c>
      <c r="H14" s="28" t="s">
        <v>57</v>
      </c>
      <c r="I14" s="28" t="s">
        <v>57</v>
      </c>
      <c r="J14" s="28"/>
      <c r="K14" s="29" t="s">
        <v>58</v>
      </c>
      <c r="L14" s="26"/>
      <c r="M14" s="25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ht="18.0" customHeight="1">
      <c r="A15" s="27">
        <v>101.0</v>
      </c>
      <c r="B15" s="28" t="s">
        <v>0</v>
      </c>
      <c r="C15" s="28">
        <v>310114.0</v>
      </c>
      <c r="D15" s="28" t="s">
        <v>82</v>
      </c>
      <c r="E15" s="28" t="s">
        <v>83</v>
      </c>
      <c r="F15" s="28">
        <v>1.0</v>
      </c>
      <c r="G15" s="28" t="s">
        <v>41</v>
      </c>
      <c r="H15" s="28" t="s">
        <v>57</v>
      </c>
      <c r="I15" s="28" t="s">
        <v>57</v>
      </c>
      <c r="J15" s="28"/>
      <c r="K15" s="29" t="s">
        <v>58</v>
      </c>
      <c r="L15" s="26"/>
      <c r="M15" s="25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ht="18.0" customHeight="1">
      <c r="A16" s="27">
        <v>101.0</v>
      </c>
      <c r="B16" s="28" t="s">
        <v>0</v>
      </c>
      <c r="C16" s="28">
        <v>310115.0</v>
      </c>
      <c r="D16" s="28" t="s">
        <v>84</v>
      </c>
      <c r="E16" s="28" t="s">
        <v>85</v>
      </c>
      <c r="F16" s="28">
        <v>1.0</v>
      </c>
      <c r="G16" s="28" t="s">
        <v>41</v>
      </c>
      <c r="H16" s="28" t="s">
        <v>57</v>
      </c>
      <c r="I16" s="28" t="s">
        <v>57</v>
      </c>
      <c r="J16" s="28"/>
      <c r="K16" s="29" t="s">
        <v>58</v>
      </c>
      <c r="L16" s="26"/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ht="18.0" customHeight="1">
      <c r="A17" s="27">
        <v>101.0</v>
      </c>
      <c r="B17" s="28" t="s">
        <v>0</v>
      </c>
      <c r="C17" s="28">
        <v>310116.0</v>
      </c>
      <c r="D17" s="28" t="s">
        <v>86</v>
      </c>
      <c r="E17" s="28" t="s">
        <v>87</v>
      </c>
      <c r="F17" s="28">
        <v>1.0</v>
      </c>
      <c r="G17" s="28" t="s">
        <v>41</v>
      </c>
      <c r="H17" s="28" t="s">
        <v>57</v>
      </c>
      <c r="I17" s="28" t="s">
        <v>57</v>
      </c>
      <c r="J17" s="28"/>
      <c r="K17" s="29" t="s">
        <v>58</v>
      </c>
      <c r="L17" s="26"/>
      <c r="M17" s="2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ht="18.0" customHeight="1">
      <c r="A18" s="27">
        <v>101.0</v>
      </c>
      <c r="B18" s="28" t="s">
        <v>0</v>
      </c>
      <c r="C18" s="28">
        <v>310117.0</v>
      </c>
      <c r="D18" s="28" t="s">
        <v>88</v>
      </c>
      <c r="E18" s="28" t="s">
        <v>89</v>
      </c>
      <c r="F18" s="28">
        <v>1.0</v>
      </c>
      <c r="G18" s="28" t="s">
        <v>41</v>
      </c>
      <c r="H18" s="28" t="s">
        <v>57</v>
      </c>
      <c r="I18" s="28" t="s">
        <v>57</v>
      </c>
      <c r="J18" s="28"/>
      <c r="K18" s="29" t="s">
        <v>58</v>
      </c>
      <c r="L18" s="26"/>
      <c r="M18" s="2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ht="18.0" customHeight="1">
      <c r="A19" s="27">
        <v>101.0</v>
      </c>
      <c r="B19" s="28" t="s">
        <v>0</v>
      </c>
      <c r="C19" s="28">
        <v>310118.0</v>
      </c>
      <c r="D19" s="28" t="s">
        <v>90</v>
      </c>
      <c r="E19" s="28" t="s">
        <v>91</v>
      </c>
      <c r="F19" s="28">
        <v>1.0</v>
      </c>
      <c r="G19" s="28" t="s">
        <v>41</v>
      </c>
      <c r="H19" s="28" t="s">
        <v>57</v>
      </c>
      <c r="I19" s="28" t="s">
        <v>57</v>
      </c>
      <c r="J19" s="28"/>
      <c r="K19" s="29" t="s">
        <v>58</v>
      </c>
      <c r="L19" s="26"/>
      <c r="M19" s="25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ht="18.0" customHeight="1">
      <c r="A20" s="27">
        <v>101.0</v>
      </c>
      <c r="B20" s="28" t="s">
        <v>0</v>
      </c>
      <c r="C20" s="28">
        <v>310119.0</v>
      </c>
      <c r="D20" s="28" t="s">
        <v>92</v>
      </c>
      <c r="E20" s="28" t="s">
        <v>93</v>
      </c>
      <c r="F20" s="28">
        <v>1.0</v>
      </c>
      <c r="G20" s="28" t="s">
        <v>41</v>
      </c>
      <c r="H20" s="28" t="s">
        <v>57</v>
      </c>
      <c r="I20" s="28" t="s">
        <v>57</v>
      </c>
      <c r="J20" s="28"/>
      <c r="K20" s="29" t="s">
        <v>58</v>
      </c>
      <c r="L20" s="26"/>
      <c r="M20" s="25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ht="18.0" customHeight="1">
      <c r="A21" s="27">
        <v>101.0</v>
      </c>
      <c r="B21" s="28" t="s">
        <v>0</v>
      </c>
      <c r="C21" s="28">
        <v>310120.0</v>
      </c>
      <c r="D21" s="28" t="s">
        <v>94</v>
      </c>
      <c r="E21" s="28" t="s">
        <v>95</v>
      </c>
      <c r="F21" s="28">
        <v>1.0</v>
      </c>
      <c r="G21" s="28" t="s">
        <v>41</v>
      </c>
      <c r="H21" s="28" t="s">
        <v>57</v>
      </c>
      <c r="I21" s="28" t="s">
        <v>57</v>
      </c>
      <c r="J21" s="28"/>
      <c r="K21" s="29" t="s">
        <v>58</v>
      </c>
      <c r="L21" s="26"/>
      <c r="M21" s="25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ht="18.0" customHeight="1">
      <c r="A22" s="27">
        <v>101.0</v>
      </c>
      <c r="B22" s="28" t="s">
        <v>0</v>
      </c>
      <c r="C22" s="28">
        <v>310121.0</v>
      </c>
      <c r="D22" s="28" t="s">
        <v>96</v>
      </c>
      <c r="E22" s="28" t="s">
        <v>97</v>
      </c>
      <c r="F22" s="28">
        <v>1.0</v>
      </c>
      <c r="G22" s="28" t="s">
        <v>41</v>
      </c>
      <c r="H22" s="28" t="s">
        <v>57</v>
      </c>
      <c r="I22" s="28" t="s">
        <v>57</v>
      </c>
      <c r="J22" s="28"/>
      <c r="K22" s="29" t="s">
        <v>58</v>
      </c>
      <c r="L22" s="26"/>
      <c r="M22" s="25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ht="18.0" customHeight="1">
      <c r="A23" s="27">
        <v>101.0</v>
      </c>
      <c r="B23" s="28" t="s">
        <v>0</v>
      </c>
      <c r="C23" s="28">
        <v>210101.0</v>
      </c>
      <c r="D23" s="28" t="s">
        <v>98</v>
      </c>
      <c r="E23" s="28" t="s">
        <v>99</v>
      </c>
      <c r="F23" s="28">
        <v>2.0</v>
      </c>
      <c r="G23" s="28" t="s">
        <v>44</v>
      </c>
      <c r="H23" s="28" t="s">
        <v>57</v>
      </c>
      <c r="I23" s="28" t="s">
        <v>57</v>
      </c>
      <c r="J23" s="28"/>
      <c r="K23" s="29" t="s">
        <v>58</v>
      </c>
      <c r="L23" s="26"/>
      <c r="M23" s="25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ht="18.0" customHeight="1">
      <c r="A24" s="27">
        <v>101.0</v>
      </c>
      <c r="B24" s="28" t="s">
        <v>0</v>
      </c>
      <c r="C24" s="28">
        <v>210104.0</v>
      </c>
      <c r="D24" s="28" t="s">
        <v>100</v>
      </c>
      <c r="E24" s="28" t="s">
        <v>101</v>
      </c>
      <c r="F24" s="28">
        <v>2.0</v>
      </c>
      <c r="G24" s="28" t="s">
        <v>41</v>
      </c>
      <c r="H24" s="28" t="s">
        <v>57</v>
      </c>
      <c r="I24" s="28" t="s">
        <v>57</v>
      </c>
      <c r="J24" s="28"/>
      <c r="K24" s="29" t="s">
        <v>58</v>
      </c>
      <c r="L24" s="26"/>
      <c r="M24" s="25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ht="18.0" customHeight="1">
      <c r="A25" s="27">
        <v>101.0</v>
      </c>
      <c r="B25" s="28" t="s">
        <v>0</v>
      </c>
      <c r="C25" s="28">
        <v>210108.0</v>
      </c>
      <c r="D25" s="28" t="s">
        <v>102</v>
      </c>
      <c r="E25" s="28" t="s">
        <v>103</v>
      </c>
      <c r="F25" s="28">
        <v>2.0</v>
      </c>
      <c r="G25" s="28" t="s">
        <v>41</v>
      </c>
      <c r="H25" s="28" t="s">
        <v>57</v>
      </c>
      <c r="I25" s="28" t="s">
        <v>57</v>
      </c>
      <c r="J25" s="28"/>
      <c r="K25" s="29" t="s">
        <v>58</v>
      </c>
      <c r="L25" s="26"/>
      <c r="M25" s="25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ht="18.0" customHeight="1">
      <c r="A26" s="27">
        <v>101.0</v>
      </c>
      <c r="B26" s="28" t="s">
        <v>0</v>
      </c>
      <c r="C26" s="28">
        <v>210109.0</v>
      </c>
      <c r="D26" s="28" t="s">
        <v>104</v>
      </c>
      <c r="E26" s="28" t="s">
        <v>105</v>
      </c>
      <c r="F26" s="28">
        <v>2.0</v>
      </c>
      <c r="G26" s="28" t="s">
        <v>44</v>
      </c>
      <c r="H26" s="28" t="s">
        <v>57</v>
      </c>
      <c r="I26" s="28" t="s">
        <v>57</v>
      </c>
      <c r="J26" s="28"/>
      <c r="K26" s="29" t="s">
        <v>58</v>
      </c>
      <c r="L26" s="26"/>
      <c r="M26" s="25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ht="18.0" customHeight="1">
      <c r="A27" s="27">
        <v>101.0</v>
      </c>
      <c r="B27" s="28" t="s">
        <v>0</v>
      </c>
      <c r="C27" s="28">
        <v>210113.0</v>
      </c>
      <c r="D27" s="28" t="s">
        <v>106</v>
      </c>
      <c r="E27" s="28" t="s">
        <v>107</v>
      </c>
      <c r="F27" s="28">
        <v>2.0</v>
      </c>
      <c r="G27" s="28" t="s">
        <v>44</v>
      </c>
      <c r="H27" s="28" t="s">
        <v>57</v>
      </c>
      <c r="I27" s="28" t="s">
        <v>57</v>
      </c>
      <c r="J27" s="28"/>
      <c r="K27" s="29" t="s">
        <v>58</v>
      </c>
      <c r="L27" s="26"/>
      <c r="M27" s="25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ht="18.0" customHeight="1">
      <c r="A28" s="27">
        <v>101.0</v>
      </c>
      <c r="B28" s="28" t="s">
        <v>0</v>
      </c>
      <c r="C28" s="28">
        <v>210114.0</v>
      </c>
      <c r="D28" s="28" t="s">
        <v>108</v>
      </c>
      <c r="E28" s="28" t="s">
        <v>109</v>
      </c>
      <c r="F28" s="28">
        <v>2.0</v>
      </c>
      <c r="G28" s="28" t="s">
        <v>44</v>
      </c>
      <c r="H28" s="28" t="s">
        <v>57</v>
      </c>
      <c r="I28" s="28" t="s">
        <v>57</v>
      </c>
      <c r="J28" s="28"/>
      <c r="K28" s="29" t="s">
        <v>58</v>
      </c>
      <c r="L28" s="26"/>
      <c r="M28" s="25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ht="18.0" customHeight="1">
      <c r="A29" s="27">
        <v>101.0</v>
      </c>
      <c r="B29" s="28" t="s">
        <v>0</v>
      </c>
      <c r="C29" s="28">
        <v>210115.0</v>
      </c>
      <c r="D29" s="28" t="s">
        <v>110</v>
      </c>
      <c r="E29" s="28" t="s">
        <v>111</v>
      </c>
      <c r="F29" s="28">
        <v>2.0</v>
      </c>
      <c r="G29" s="28" t="s">
        <v>44</v>
      </c>
      <c r="H29" s="28" t="s">
        <v>57</v>
      </c>
      <c r="I29" s="28" t="s">
        <v>57</v>
      </c>
      <c r="J29" s="28"/>
      <c r="K29" s="29" t="s">
        <v>58</v>
      </c>
      <c r="L29" s="26"/>
      <c r="M29" s="25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ht="18.0" customHeight="1">
      <c r="A30" s="27">
        <v>101.0</v>
      </c>
      <c r="B30" s="28" t="s">
        <v>0</v>
      </c>
      <c r="C30" s="28">
        <v>210118.0</v>
      </c>
      <c r="D30" s="28" t="s">
        <v>112</v>
      </c>
      <c r="E30" s="28" t="s">
        <v>113</v>
      </c>
      <c r="F30" s="28">
        <v>2.0</v>
      </c>
      <c r="G30" s="28" t="s">
        <v>44</v>
      </c>
      <c r="H30" s="28" t="s">
        <v>114</v>
      </c>
      <c r="I30" s="28" t="s">
        <v>53</v>
      </c>
      <c r="J30" s="28"/>
      <c r="K30" s="29" t="s">
        <v>54</v>
      </c>
      <c r="L30" s="26"/>
      <c r="M30" s="25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ht="18.0" customHeight="1">
      <c r="A31" s="27">
        <v>101.0</v>
      </c>
      <c r="B31" s="28" t="s">
        <v>0</v>
      </c>
      <c r="C31" s="28">
        <v>110102.0</v>
      </c>
      <c r="D31" s="28" t="s">
        <v>115</v>
      </c>
      <c r="E31" s="28" t="s">
        <v>116</v>
      </c>
      <c r="F31" s="28">
        <v>3.0</v>
      </c>
      <c r="G31" s="28" t="s">
        <v>44</v>
      </c>
      <c r="H31" s="28" t="s">
        <v>57</v>
      </c>
      <c r="I31" s="28" t="s">
        <v>57</v>
      </c>
      <c r="J31" s="28"/>
      <c r="K31" s="29" t="s">
        <v>58</v>
      </c>
      <c r="L31" s="26"/>
      <c r="M31" s="25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ht="18.0" customHeight="1">
      <c r="A32" s="27">
        <v>101.0</v>
      </c>
      <c r="B32" s="28" t="s">
        <v>0</v>
      </c>
      <c r="C32" s="28">
        <v>110106.0</v>
      </c>
      <c r="D32" s="28" t="s">
        <v>117</v>
      </c>
      <c r="E32" s="28" t="s">
        <v>118</v>
      </c>
      <c r="F32" s="28">
        <v>3.0</v>
      </c>
      <c r="G32" s="28" t="s">
        <v>44</v>
      </c>
      <c r="H32" s="28" t="s">
        <v>119</v>
      </c>
      <c r="I32" s="28" t="s">
        <v>53</v>
      </c>
      <c r="J32" s="28"/>
      <c r="K32" s="29" t="s">
        <v>54</v>
      </c>
      <c r="L32" s="26"/>
      <c r="M32" s="25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ht="18.0" customHeight="1">
      <c r="A33" s="27">
        <v>101.0</v>
      </c>
      <c r="B33" s="28" t="s">
        <v>0</v>
      </c>
      <c r="C33" s="28">
        <v>110111.0</v>
      </c>
      <c r="D33" s="28" t="s">
        <v>120</v>
      </c>
      <c r="E33" s="28" t="s">
        <v>121</v>
      </c>
      <c r="F33" s="28">
        <v>3.0</v>
      </c>
      <c r="G33" s="28" t="s">
        <v>44</v>
      </c>
      <c r="H33" s="28" t="s">
        <v>57</v>
      </c>
      <c r="I33" s="28" t="s">
        <v>57</v>
      </c>
      <c r="J33" s="28"/>
      <c r="K33" s="29" t="s">
        <v>58</v>
      </c>
      <c r="L33" s="26"/>
      <c r="M33" s="25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ht="18.0" customHeight="1">
      <c r="A34" s="27">
        <v>101.0</v>
      </c>
      <c r="B34" s="28" t="s">
        <v>0</v>
      </c>
      <c r="C34" s="28">
        <v>110112.0</v>
      </c>
      <c r="D34" s="28" t="s">
        <v>122</v>
      </c>
      <c r="E34" s="28" t="s">
        <v>123</v>
      </c>
      <c r="F34" s="28">
        <v>3.0</v>
      </c>
      <c r="G34" s="28" t="s">
        <v>44</v>
      </c>
      <c r="H34" s="28" t="s">
        <v>57</v>
      </c>
      <c r="I34" s="28" t="s">
        <v>57</v>
      </c>
      <c r="J34" s="28"/>
      <c r="K34" s="29" t="s">
        <v>58</v>
      </c>
      <c r="L34" s="26"/>
      <c r="M34" s="25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ht="18.0" customHeight="1">
      <c r="A35" s="27">
        <v>101.0</v>
      </c>
      <c r="B35" s="28" t="s">
        <v>0</v>
      </c>
      <c r="C35" s="28">
        <v>110113.0</v>
      </c>
      <c r="D35" s="28" t="s">
        <v>124</v>
      </c>
      <c r="E35" s="28" t="s">
        <v>125</v>
      </c>
      <c r="F35" s="28">
        <v>3.0</v>
      </c>
      <c r="G35" s="28" t="s">
        <v>41</v>
      </c>
      <c r="H35" s="28" t="s">
        <v>57</v>
      </c>
      <c r="I35" s="28" t="s">
        <v>57</v>
      </c>
      <c r="J35" s="28"/>
      <c r="K35" s="29" t="s">
        <v>58</v>
      </c>
      <c r="L35" s="26"/>
      <c r="M35" s="25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ht="18.0" customHeight="1">
      <c r="A36" s="27">
        <v>101.0</v>
      </c>
      <c r="B36" s="28" t="s">
        <v>0</v>
      </c>
      <c r="C36" s="28">
        <v>110114.0</v>
      </c>
      <c r="D36" s="28" t="s">
        <v>126</v>
      </c>
      <c r="E36" s="28" t="s">
        <v>127</v>
      </c>
      <c r="F36" s="28">
        <v>3.0</v>
      </c>
      <c r="G36" s="28" t="s">
        <v>44</v>
      </c>
      <c r="H36" s="28" t="s">
        <v>57</v>
      </c>
      <c r="I36" s="28" t="s">
        <v>57</v>
      </c>
      <c r="J36" s="28"/>
      <c r="K36" s="29" t="s">
        <v>58</v>
      </c>
      <c r="L36" s="26"/>
      <c r="M36" s="25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ht="18.0" customHeight="1">
      <c r="A37" s="27">
        <v>101.0</v>
      </c>
      <c r="B37" s="28" t="s">
        <v>0</v>
      </c>
      <c r="C37" s="28">
        <v>110115.0</v>
      </c>
      <c r="D37" s="28" t="s">
        <v>128</v>
      </c>
      <c r="E37" s="28" t="s">
        <v>129</v>
      </c>
      <c r="F37" s="28">
        <v>3.0</v>
      </c>
      <c r="G37" s="28" t="s">
        <v>41</v>
      </c>
      <c r="H37" s="28" t="s">
        <v>130</v>
      </c>
      <c r="I37" s="28" t="s">
        <v>53</v>
      </c>
      <c r="J37" s="28"/>
      <c r="K37" s="29" t="s">
        <v>54</v>
      </c>
      <c r="L37" s="26"/>
      <c r="M37" s="25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ht="18.0" customHeight="1">
      <c r="A38" s="27">
        <v>101.0</v>
      </c>
      <c r="B38" s="28" t="s">
        <v>0</v>
      </c>
      <c r="C38" s="28">
        <v>110117.0</v>
      </c>
      <c r="D38" s="28" t="s">
        <v>131</v>
      </c>
      <c r="E38" s="28" t="s">
        <v>132</v>
      </c>
      <c r="F38" s="28">
        <v>3.0</v>
      </c>
      <c r="G38" s="28" t="s">
        <v>41</v>
      </c>
      <c r="H38" s="28" t="s">
        <v>57</v>
      </c>
      <c r="I38" s="28" t="s">
        <v>57</v>
      </c>
      <c r="J38" s="28"/>
      <c r="K38" s="29" t="s">
        <v>58</v>
      </c>
      <c r="L38" s="26"/>
      <c r="M38" s="25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ht="18.0" customHeight="1">
      <c r="A39" s="27">
        <v>101.0</v>
      </c>
      <c r="B39" s="28" t="s">
        <v>0</v>
      </c>
      <c r="C39" s="28">
        <v>10101.0</v>
      </c>
      <c r="D39" s="28" t="s">
        <v>133</v>
      </c>
      <c r="E39" s="28" t="s">
        <v>134</v>
      </c>
      <c r="F39" s="28">
        <v>4.0</v>
      </c>
      <c r="G39" s="28" t="s">
        <v>41</v>
      </c>
      <c r="H39" s="28" t="s">
        <v>57</v>
      </c>
      <c r="I39" s="28" t="s">
        <v>57</v>
      </c>
      <c r="J39" s="28"/>
      <c r="K39" s="29" t="s">
        <v>58</v>
      </c>
      <c r="L39" s="26"/>
      <c r="M39" s="25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ht="18.0" customHeight="1">
      <c r="A40" s="27">
        <v>101.0</v>
      </c>
      <c r="B40" s="28" t="s">
        <v>0</v>
      </c>
      <c r="C40" s="28">
        <v>10104.0</v>
      </c>
      <c r="D40" s="28" t="s">
        <v>135</v>
      </c>
      <c r="E40" s="28" t="s">
        <v>136</v>
      </c>
      <c r="F40" s="28">
        <v>4.0</v>
      </c>
      <c r="G40" s="28" t="s">
        <v>41</v>
      </c>
      <c r="H40" s="28" t="s">
        <v>130</v>
      </c>
      <c r="I40" s="28" t="s">
        <v>53</v>
      </c>
      <c r="J40" s="28"/>
      <c r="K40" s="29" t="s">
        <v>54</v>
      </c>
      <c r="L40" s="26"/>
      <c r="M40" s="25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ht="18.0" customHeight="1">
      <c r="A41" s="27">
        <v>101.0</v>
      </c>
      <c r="B41" s="28" t="s">
        <v>0</v>
      </c>
      <c r="C41" s="28">
        <v>10106.0</v>
      </c>
      <c r="D41" s="28" t="s">
        <v>137</v>
      </c>
      <c r="E41" s="28" t="s">
        <v>138</v>
      </c>
      <c r="F41" s="28">
        <v>4.0</v>
      </c>
      <c r="G41" s="28" t="s">
        <v>41</v>
      </c>
      <c r="H41" s="28" t="s">
        <v>57</v>
      </c>
      <c r="I41" s="28" t="s">
        <v>57</v>
      </c>
      <c r="J41" s="28"/>
      <c r="K41" s="29" t="s">
        <v>58</v>
      </c>
      <c r="L41" s="26"/>
      <c r="M41" s="25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ht="18.0" customHeight="1">
      <c r="A42" s="27">
        <v>102.0</v>
      </c>
      <c r="B42" s="28" t="s">
        <v>139</v>
      </c>
      <c r="C42" s="28">
        <v>310201.0</v>
      </c>
      <c r="D42" s="28" t="s">
        <v>140</v>
      </c>
      <c r="E42" s="28" t="s">
        <v>141</v>
      </c>
      <c r="F42" s="28">
        <v>1.0</v>
      </c>
      <c r="G42" s="28" t="s">
        <v>41</v>
      </c>
      <c r="H42" s="28" t="s">
        <v>52</v>
      </c>
      <c r="I42" s="28" t="s">
        <v>53</v>
      </c>
      <c r="J42" s="28">
        <v>270370.0</v>
      </c>
      <c r="K42" s="29" t="s">
        <v>58</v>
      </c>
      <c r="L42" s="26"/>
      <c r="M42" s="25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ht="18.0" customHeight="1">
      <c r="A43" s="27">
        <v>102.0</v>
      </c>
      <c r="B43" s="28" t="s">
        <v>139</v>
      </c>
      <c r="C43" s="28">
        <v>310202.0</v>
      </c>
      <c r="D43" s="28" t="s">
        <v>142</v>
      </c>
      <c r="E43" s="28" t="s">
        <v>143</v>
      </c>
      <c r="F43" s="28">
        <v>1.0</v>
      </c>
      <c r="G43" s="28" t="s">
        <v>44</v>
      </c>
      <c r="H43" s="28" t="s">
        <v>61</v>
      </c>
      <c r="I43" s="28" t="s">
        <v>53</v>
      </c>
      <c r="J43" s="28">
        <v>270381.0</v>
      </c>
      <c r="K43" s="29" t="s">
        <v>54</v>
      </c>
      <c r="L43" s="26"/>
      <c r="M43" s="25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ht="18.0" customHeight="1">
      <c r="A44" s="27">
        <v>102.0</v>
      </c>
      <c r="B44" s="28" t="s">
        <v>139</v>
      </c>
      <c r="C44" s="28">
        <v>310203.0</v>
      </c>
      <c r="D44" s="28" t="s">
        <v>144</v>
      </c>
      <c r="E44" s="28" t="s">
        <v>145</v>
      </c>
      <c r="F44" s="28">
        <v>1.0</v>
      </c>
      <c r="G44" s="28" t="s">
        <v>41</v>
      </c>
      <c r="H44" s="28" t="s">
        <v>52</v>
      </c>
      <c r="I44" s="28" t="s">
        <v>53</v>
      </c>
      <c r="J44" s="28">
        <v>270386.0</v>
      </c>
      <c r="K44" s="29" t="s">
        <v>58</v>
      </c>
      <c r="L44" s="26"/>
      <c r="M44" s="25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ht="18.0" customHeight="1">
      <c r="A45" s="27">
        <v>102.0</v>
      </c>
      <c r="B45" s="28" t="s">
        <v>139</v>
      </c>
      <c r="C45" s="28">
        <v>310204.0</v>
      </c>
      <c r="D45" s="28" t="s">
        <v>146</v>
      </c>
      <c r="E45" s="28" t="s">
        <v>147</v>
      </c>
      <c r="F45" s="28">
        <v>1.0</v>
      </c>
      <c r="G45" s="28" t="s">
        <v>44</v>
      </c>
      <c r="H45" s="28" t="s">
        <v>61</v>
      </c>
      <c r="I45" s="28" t="s">
        <v>53</v>
      </c>
      <c r="J45" s="28">
        <v>270380.0</v>
      </c>
      <c r="K45" s="29" t="s">
        <v>54</v>
      </c>
      <c r="L45" s="26"/>
      <c r="M45" s="25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ht="18.0" customHeight="1">
      <c r="A46" s="27">
        <v>102.0</v>
      </c>
      <c r="B46" s="28" t="s">
        <v>139</v>
      </c>
      <c r="C46" s="28">
        <v>310205.0</v>
      </c>
      <c r="D46" s="28" t="s">
        <v>148</v>
      </c>
      <c r="E46" s="28" t="s">
        <v>149</v>
      </c>
      <c r="F46" s="28">
        <v>1.0</v>
      </c>
      <c r="G46" s="28" t="s">
        <v>41</v>
      </c>
      <c r="H46" s="28" t="s">
        <v>52</v>
      </c>
      <c r="I46" s="28" t="s">
        <v>53</v>
      </c>
      <c r="J46" s="28">
        <v>270379.0</v>
      </c>
      <c r="K46" s="29" t="s">
        <v>58</v>
      </c>
      <c r="L46" s="26"/>
      <c r="M46" s="25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ht="18.0" customHeight="1">
      <c r="A47" s="27">
        <v>102.0</v>
      </c>
      <c r="B47" s="28" t="s">
        <v>139</v>
      </c>
      <c r="C47" s="28">
        <v>310206.0</v>
      </c>
      <c r="D47" s="28" t="s">
        <v>150</v>
      </c>
      <c r="E47" s="28" t="s">
        <v>151</v>
      </c>
      <c r="F47" s="28">
        <v>1.0</v>
      </c>
      <c r="G47" s="28" t="s">
        <v>41</v>
      </c>
      <c r="H47" s="28" t="s">
        <v>57</v>
      </c>
      <c r="I47" s="28" t="s">
        <v>57</v>
      </c>
      <c r="J47" s="28"/>
      <c r="K47" s="29" t="s">
        <v>58</v>
      </c>
      <c r="L47" s="26"/>
      <c r="M47" s="25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ht="18.0" customHeight="1">
      <c r="A48" s="27">
        <v>102.0</v>
      </c>
      <c r="B48" s="28" t="s">
        <v>139</v>
      </c>
      <c r="C48" s="28">
        <v>310207.0</v>
      </c>
      <c r="D48" s="28" t="s">
        <v>152</v>
      </c>
      <c r="E48" s="28" t="s">
        <v>153</v>
      </c>
      <c r="F48" s="28">
        <v>1.0</v>
      </c>
      <c r="G48" s="28" t="s">
        <v>41</v>
      </c>
      <c r="H48" s="28" t="s">
        <v>52</v>
      </c>
      <c r="I48" s="28" t="s">
        <v>53</v>
      </c>
      <c r="J48" s="28">
        <v>270388.0</v>
      </c>
      <c r="K48" s="29" t="s">
        <v>58</v>
      </c>
      <c r="L48" s="26"/>
      <c r="M48" s="25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ht="18.0" customHeight="1">
      <c r="A49" s="27">
        <v>102.0</v>
      </c>
      <c r="B49" s="28" t="s">
        <v>139</v>
      </c>
      <c r="C49" s="28">
        <v>310208.0</v>
      </c>
      <c r="D49" s="28" t="s">
        <v>154</v>
      </c>
      <c r="E49" s="28" t="s">
        <v>155</v>
      </c>
      <c r="F49" s="28">
        <v>1.0</v>
      </c>
      <c r="G49" s="28" t="s">
        <v>41</v>
      </c>
      <c r="H49" s="28" t="s">
        <v>57</v>
      </c>
      <c r="I49" s="28" t="s">
        <v>57</v>
      </c>
      <c r="J49" s="28"/>
      <c r="K49" s="29" t="s">
        <v>58</v>
      </c>
      <c r="L49" s="26"/>
      <c r="M49" s="25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ht="18.0" customHeight="1">
      <c r="A50" s="27">
        <v>102.0</v>
      </c>
      <c r="B50" s="28" t="s">
        <v>139</v>
      </c>
      <c r="C50" s="28">
        <v>310209.0</v>
      </c>
      <c r="D50" s="28" t="s">
        <v>156</v>
      </c>
      <c r="E50" s="28" t="s">
        <v>157</v>
      </c>
      <c r="F50" s="28">
        <v>1.0</v>
      </c>
      <c r="G50" s="28" t="s">
        <v>41</v>
      </c>
      <c r="H50" s="28" t="s">
        <v>52</v>
      </c>
      <c r="I50" s="28" t="s">
        <v>53</v>
      </c>
      <c r="J50" s="28">
        <v>270377.0</v>
      </c>
      <c r="K50" s="29" t="s">
        <v>58</v>
      </c>
      <c r="L50" s="26"/>
      <c r="M50" s="25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ht="18.0" customHeight="1">
      <c r="A51" s="27">
        <v>102.0</v>
      </c>
      <c r="B51" s="28" t="s">
        <v>139</v>
      </c>
      <c r="C51" s="28">
        <v>310210.0</v>
      </c>
      <c r="D51" s="28" t="s">
        <v>158</v>
      </c>
      <c r="E51" s="28" t="s">
        <v>159</v>
      </c>
      <c r="F51" s="28">
        <v>1.0</v>
      </c>
      <c r="G51" s="28" t="s">
        <v>41</v>
      </c>
      <c r="H51" s="28" t="s">
        <v>57</v>
      </c>
      <c r="I51" s="28" t="s">
        <v>57</v>
      </c>
      <c r="J51" s="28"/>
      <c r="K51" s="29" t="s">
        <v>58</v>
      </c>
      <c r="L51" s="26"/>
      <c r="M51" s="25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ht="18.0" customHeight="1">
      <c r="A52" s="27">
        <v>102.0</v>
      </c>
      <c r="B52" s="28" t="s">
        <v>139</v>
      </c>
      <c r="C52" s="28">
        <v>310211.0</v>
      </c>
      <c r="D52" s="28" t="s">
        <v>160</v>
      </c>
      <c r="E52" s="28" t="s">
        <v>161</v>
      </c>
      <c r="F52" s="28">
        <v>1.0</v>
      </c>
      <c r="G52" s="28" t="s">
        <v>41</v>
      </c>
      <c r="H52" s="28" t="s">
        <v>52</v>
      </c>
      <c r="I52" s="28" t="s">
        <v>53</v>
      </c>
      <c r="J52" s="28">
        <v>270392.0</v>
      </c>
      <c r="K52" s="29" t="s">
        <v>58</v>
      </c>
      <c r="L52" s="26"/>
      <c r="M52" s="25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ht="18.0" customHeight="1">
      <c r="A53" s="27">
        <v>102.0</v>
      </c>
      <c r="B53" s="28" t="s">
        <v>139</v>
      </c>
      <c r="C53" s="28">
        <v>310212.0</v>
      </c>
      <c r="D53" s="28" t="s">
        <v>162</v>
      </c>
      <c r="E53" s="28" t="s">
        <v>163</v>
      </c>
      <c r="F53" s="28">
        <v>1.0</v>
      </c>
      <c r="G53" s="28" t="s">
        <v>41</v>
      </c>
      <c r="H53" s="28" t="s">
        <v>57</v>
      </c>
      <c r="I53" s="28" t="s">
        <v>57</v>
      </c>
      <c r="J53" s="28"/>
      <c r="K53" s="29" t="s">
        <v>58</v>
      </c>
      <c r="L53" s="26"/>
      <c r="M53" s="2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ht="18.0" customHeight="1">
      <c r="A54" s="27">
        <v>102.0</v>
      </c>
      <c r="B54" s="28" t="s">
        <v>139</v>
      </c>
      <c r="C54" s="28">
        <v>310213.0</v>
      </c>
      <c r="D54" s="28" t="s">
        <v>164</v>
      </c>
      <c r="E54" s="28" t="s">
        <v>165</v>
      </c>
      <c r="F54" s="28">
        <v>1.0</v>
      </c>
      <c r="G54" s="28" t="s">
        <v>41</v>
      </c>
      <c r="H54" s="28" t="s">
        <v>52</v>
      </c>
      <c r="I54" s="28" t="s">
        <v>53</v>
      </c>
      <c r="J54" s="28">
        <v>270373.0</v>
      </c>
      <c r="K54" s="29" t="s">
        <v>54</v>
      </c>
      <c r="L54" s="26"/>
      <c r="M54" s="25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ht="18.0" customHeight="1">
      <c r="A55" s="27">
        <v>102.0</v>
      </c>
      <c r="B55" s="28" t="s">
        <v>139</v>
      </c>
      <c r="C55" s="28">
        <v>310214.0</v>
      </c>
      <c r="D55" s="28" t="s">
        <v>166</v>
      </c>
      <c r="E55" s="28" t="s">
        <v>167</v>
      </c>
      <c r="F55" s="28">
        <v>1.0</v>
      </c>
      <c r="G55" s="28" t="s">
        <v>41</v>
      </c>
      <c r="H55" s="28" t="s">
        <v>57</v>
      </c>
      <c r="I55" s="28" t="s">
        <v>57</v>
      </c>
      <c r="J55" s="28"/>
      <c r="K55" s="29" t="s">
        <v>58</v>
      </c>
      <c r="L55" s="26"/>
      <c r="M55" s="25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ht="18.0" customHeight="1">
      <c r="A56" s="27">
        <v>102.0</v>
      </c>
      <c r="B56" s="28" t="s">
        <v>139</v>
      </c>
      <c r="C56" s="28">
        <v>310215.0</v>
      </c>
      <c r="D56" s="28" t="s">
        <v>168</v>
      </c>
      <c r="E56" s="28" t="s">
        <v>169</v>
      </c>
      <c r="F56" s="28">
        <v>1.0</v>
      </c>
      <c r="G56" s="28" t="s">
        <v>41</v>
      </c>
      <c r="H56" s="28" t="s">
        <v>57</v>
      </c>
      <c r="I56" s="28" t="s">
        <v>57</v>
      </c>
      <c r="J56" s="28"/>
      <c r="K56" s="29" t="s">
        <v>58</v>
      </c>
      <c r="L56" s="26"/>
      <c r="M56" s="25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ht="18.0" customHeight="1">
      <c r="A57" s="27">
        <v>102.0</v>
      </c>
      <c r="B57" s="28" t="s">
        <v>139</v>
      </c>
      <c r="C57" s="28">
        <v>310216.0</v>
      </c>
      <c r="D57" s="28" t="s">
        <v>170</v>
      </c>
      <c r="E57" s="28" t="s">
        <v>171</v>
      </c>
      <c r="F57" s="28">
        <v>1.0</v>
      </c>
      <c r="G57" s="28" t="s">
        <v>41</v>
      </c>
      <c r="H57" s="28" t="s">
        <v>57</v>
      </c>
      <c r="I57" s="28" t="s">
        <v>57</v>
      </c>
      <c r="J57" s="28"/>
      <c r="K57" s="29" t="s">
        <v>58</v>
      </c>
      <c r="L57" s="26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ht="18.0" customHeight="1">
      <c r="A58" s="27">
        <v>102.0</v>
      </c>
      <c r="B58" s="28" t="s">
        <v>139</v>
      </c>
      <c r="C58" s="28">
        <v>310217.0</v>
      </c>
      <c r="D58" s="28" t="s">
        <v>172</v>
      </c>
      <c r="E58" s="28" t="s">
        <v>173</v>
      </c>
      <c r="F58" s="28">
        <v>1.0</v>
      </c>
      <c r="G58" s="28" t="s">
        <v>41</v>
      </c>
      <c r="H58" s="28" t="s">
        <v>57</v>
      </c>
      <c r="I58" s="28" t="s">
        <v>57</v>
      </c>
      <c r="J58" s="28"/>
      <c r="K58" s="29" t="s">
        <v>58</v>
      </c>
      <c r="L58" s="26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ht="18.0" customHeight="1">
      <c r="A59" s="27">
        <v>102.0</v>
      </c>
      <c r="B59" s="28" t="s">
        <v>139</v>
      </c>
      <c r="C59" s="28">
        <v>310218.0</v>
      </c>
      <c r="D59" s="28" t="s">
        <v>174</v>
      </c>
      <c r="E59" s="28" t="s">
        <v>175</v>
      </c>
      <c r="F59" s="28">
        <v>1.0</v>
      </c>
      <c r="G59" s="28" t="s">
        <v>41</v>
      </c>
      <c r="H59" s="28" t="s">
        <v>57</v>
      </c>
      <c r="I59" s="28" t="s">
        <v>57</v>
      </c>
      <c r="J59" s="28"/>
      <c r="K59" s="29" t="s">
        <v>58</v>
      </c>
      <c r="L59" s="26"/>
      <c r="M59" s="25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ht="18.0" customHeight="1">
      <c r="A60" s="27">
        <v>102.0</v>
      </c>
      <c r="B60" s="28" t="s">
        <v>139</v>
      </c>
      <c r="C60" s="28">
        <v>310219.0</v>
      </c>
      <c r="D60" s="28" t="s">
        <v>176</v>
      </c>
      <c r="E60" s="28" t="s">
        <v>177</v>
      </c>
      <c r="F60" s="28">
        <v>1.0</v>
      </c>
      <c r="G60" s="28" t="s">
        <v>41</v>
      </c>
      <c r="H60" s="28" t="s">
        <v>52</v>
      </c>
      <c r="I60" s="28" t="s">
        <v>53</v>
      </c>
      <c r="J60" s="28">
        <v>270378.0</v>
      </c>
      <c r="K60" s="29" t="s">
        <v>58</v>
      </c>
      <c r="L60" s="26"/>
      <c r="M60" s="25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ht="18.0" customHeight="1">
      <c r="A61" s="27">
        <v>102.0</v>
      </c>
      <c r="B61" s="28" t="s">
        <v>139</v>
      </c>
      <c r="C61" s="28">
        <v>310220.0</v>
      </c>
      <c r="D61" s="28" t="s">
        <v>178</v>
      </c>
      <c r="E61" s="28" t="s">
        <v>179</v>
      </c>
      <c r="F61" s="28">
        <v>1.0</v>
      </c>
      <c r="G61" s="28" t="s">
        <v>41</v>
      </c>
      <c r="H61" s="28" t="s">
        <v>57</v>
      </c>
      <c r="I61" s="28" t="s">
        <v>57</v>
      </c>
      <c r="J61" s="28"/>
      <c r="K61" s="29" t="s">
        <v>58</v>
      </c>
      <c r="L61" s="26"/>
      <c r="M61" s="25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ht="18.0" customHeight="1">
      <c r="A62" s="27">
        <v>102.0</v>
      </c>
      <c r="B62" s="28" t="s">
        <v>139</v>
      </c>
      <c r="C62" s="28">
        <v>310221.0</v>
      </c>
      <c r="D62" s="28" t="s">
        <v>180</v>
      </c>
      <c r="E62" s="28" t="s">
        <v>181</v>
      </c>
      <c r="F62" s="28">
        <v>1.0</v>
      </c>
      <c r="G62" s="28" t="s">
        <v>41</v>
      </c>
      <c r="H62" s="28" t="s">
        <v>57</v>
      </c>
      <c r="I62" s="28" t="s">
        <v>57</v>
      </c>
      <c r="J62" s="28"/>
      <c r="K62" s="29" t="s">
        <v>58</v>
      </c>
      <c r="L62" s="26"/>
      <c r="M62" s="25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ht="18.0" customHeight="1">
      <c r="A63" s="27">
        <v>102.0</v>
      </c>
      <c r="B63" s="28" t="s">
        <v>139</v>
      </c>
      <c r="C63" s="28">
        <v>310222.0</v>
      </c>
      <c r="D63" s="28" t="s">
        <v>182</v>
      </c>
      <c r="E63" s="28" t="s">
        <v>183</v>
      </c>
      <c r="F63" s="28">
        <v>1.0</v>
      </c>
      <c r="G63" s="28" t="s">
        <v>41</v>
      </c>
      <c r="H63" s="28" t="s">
        <v>52</v>
      </c>
      <c r="I63" s="28" t="s">
        <v>53</v>
      </c>
      <c r="J63" s="28">
        <v>270385.0</v>
      </c>
      <c r="K63" s="29" t="s">
        <v>54</v>
      </c>
      <c r="L63" s="26"/>
      <c r="M63" s="25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ht="18.0" customHeight="1">
      <c r="A64" s="27">
        <v>102.0</v>
      </c>
      <c r="B64" s="28" t="s">
        <v>139</v>
      </c>
      <c r="C64" s="28">
        <v>310223.0</v>
      </c>
      <c r="D64" s="28" t="s">
        <v>184</v>
      </c>
      <c r="E64" s="28" t="s">
        <v>185</v>
      </c>
      <c r="F64" s="28">
        <v>1.0</v>
      </c>
      <c r="G64" s="28" t="s">
        <v>44</v>
      </c>
      <c r="H64" s="28" t="s">
        <v>61</v>
      </c>
      <c r="I64" s="28" t="s">
        <v>53</v>
      </c>
      <c r="J64" s="28">
        <v>270391.0</v>
      </c>
      <c r="K64" s="29" t="s">
        <v>58</v>
      </c>
      <c r="L64" s="26"/>
      <c r="M64" s="25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ht="18.0" customHeight="1">
      <c r="A65" s="27">
        <v>102.0</v>
      </c>
      <c r="B65" s="28" t="s">
        <v>139</v>
      </c>
      <c r="C65" s="28">
        <v>310224.0</v>
      </c>
      <c r="D65" s="28" t="s">
        <v>186</v>
      </c>
      <c r="E65" s="28" t="s">
        <v>187</v>
      </c>
      <c r="F65" s="28">
        <v>1.0</v>
      </c>
      <c r="G65" s="28" t="s">
        <v>41</v>
      </c>
      <c r="H65" s="28" t="s">
        <v>57</v>
      </c>
      <c r="I65" s="28" t="s">
        <v>57</v>
      </c>
      <c r="J65" s="28"/>
      <c r="K65" s="29" t="s">
        <v>58</v>
      </c>
      <c r="L65" s="26"/>
      <c r="M65" s="25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ht="18.0" customHeight="1">
      <c r="A66" s="27">
        <v>102.0</v>
      </c>
      <c r="B66" s="28" t="s">
        <v>139</v>
      </c>
      <c r="C66" s="28">
        <v>310225.0</v>
      </c>
      <c r="D66" s="28" t="s">
        <v>188</v>
      </c>
      <c r="E66" s="28" t="s">
        <v>189</v>
      </c>
      <c r="F66" s="28">
        <v>1.0</v>
      </c>
      <c r="G66" s="28" t="s">
        <v>41</v>
      </c>
      <c r="H66" s="28" t="s">
        <v>52</v>
      </c>
      <c r="I66" s="28" t="s">
        <v>53</v>
      </c>
      <c r="J66" s="28">
        <v>270369.0</v>
      </c>
      <c r="K66" s="29" t="s">
        <v>54</v>
      </c>
      <c r="L66" s="26"/>
      <c r="M66" s="25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ht="18.0" customHeight="1">
      <c r="A67" s="27">
        <v>102.0</v>
      </c>
      <c r="B67" s="28" t="s">
        <v>139</v>
      </c>
      <c r="C67" s="28">
        <v>310226.0</v>
      </c>
      <c r="D67" s="28" t="s">
        <v>190</v>
      </c>
      <c r="E67" s="28" t="s">
        <v>191</v>
      </c>
      <c r="F67" s="28">
        <v>1.0</v>
      </c>
      <c r="G67" s="28" t="s">
        <v>41</v>
      </c>
      <c r="H67" s="28" t="s">
        <v>57</v>
      </c>
      <c r="I67" s="28" t="s">
        <v>57</v>
      </c>
      <c r="J67" s="28"/>
      <c r="K67" s="29" t="s">
        <v>58</v>
      </c>
      <c r="L67" s="26"/>
      <c r="M67" s="25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ht="18.0" customHeight="1">
      <c r="A68" s="27">
        <v>102.0</v>
      </c>
      <c r="B68" s="28" t="s">
        <v>139</v>
      </c>
      <c r="C68" s="28">
        <v>310227.0</v>
      </c>
      <c r="D68" s="28" t="s">
        <v>192</v>
      </c>
      <c r="E68" s="28" t="s">
        <v>193</v>
      </c>
      <c r="F68" s="28">
        <v>1.0</v>
      </c>
      <c r="G68" s="28" t="s">
        <v>41</v>
      </c>
      <c r="H68" s="28" t="s">
        <v>52</v>
      </c>
      <c r="I68" s="28" t="s">
        <v>53</v>
      </c>
      <c r="J68" s="28">
        <v>270393.0</v>
      </c>
      <c r="K68" s="29" t="s">
        <v>58</v>
      </c>
      <c r="L68" s="26"/>
      <c r="M68" s="2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ht="18.0" customHeight="1">
      <c r="A69" s="27">
        <v>102.0</v>
      </c>
      <c r="B69" s="28" t="s">
        <v>139</v>
      </c>
      <c r="C69" s="28">
        <v>310228.0</v>
      </c>
      <c r="D69" s="28" t="s">
        <v>194</v>
      </c>
      <c r="E69" s="28" t="s">
        <v>195</v>
      </c>
      <c r="F69" s="28">
        <v>1.0</v>
      </c>
      <c r="G69" s="28" t="s">
        <v>41</v>
      </c>
      <c r="H69" s="28" t="s">
        <v>52</v>
      </c>
      <c r="I69" s="28" t="s">
        <v>53</v>
      </c>
      <c r="J69" s="28">
        <v>270372.0</v>
      </c>
      <c r="K69" s="29" t="s">
        <v>54</v>
      </c>
      <c r="L69" s="26"/>
      <c r="M69" s="25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ht="18.0" customHeight="1">
      <c r="A70" s="27">
        <v>102.0</v>
      </c>
      <c r="B70" s="28" t="s">
        <v>139</v>
      </c>
      <c r="C70" s="28">
        <v>310229.0</v>
      </c>
      <c r="D70" s="28" t="s">
        <v>196</v>
      </c>
      <c r="E70" s="28" t="s">
        <v>197</v>
      </c>
      <c r="F70" s="28">
        <v>1.0</v>
      </c>
      <c r="G70" s="28" t="s">
        <v>41</v>
      </c>
      <c r="H70" s="28" t="s">
        <v>57</v>
      </c>
      <c r="I70" s="28" t="s">
        <v>57</v>
      </c>
      <c r="J70" s="28"/>
      <c r="K70" s="29" t="s">
        <v>58</v>
      </c>
      <c r="L70" s="26"/>
      <c r="M70" s="25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ht="18.0" customHeight="1">
      <c r="A71" s="27">
        <v>102.0</v>
      </c>
      <c r="B71" s="28" t="s">
        <v>139</v>
      </c>
      <c r="C71" s="28">
        <v>210201.0</v>
      </c>
      <c r="D71" s="28" t="s">
        <v>198</v>
      </c>
      <c r="E71" s="28" t="s">
        <v>199</v>
      </c>
      <c r="F71" s="28">
        <v>2.0</v>
      </c>
      <c r="G71" s="28" t="s">
        <v>41</v>
      </c>
      <c r="H71" s="28" t="s">
        <v>57</v>
      </c>
      <c r="I71" s="28" t="s">
        <v>57</v>
      </c>
      <c r="J71" s="28"/>
      <c r="K71" s="29" t="s">
        <v>58</v>
      </c>
      <c r="L71" s="26"/>
      <c r="M71" s="25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ht="18.0" customHeight="1">
      <c r="A72" s="27">
        <v>102.0</v>
      </c>
      <c r="B72" s="28" t="s">
        <v>139</v>
      </c>
      <c r="C72" s="28">
        <v>210202.0</v>
      </c>
      <c r="D72" s="28" t="s">
        <v>200</v>
      </c>
      <c r="E72" s="28" t="s">
        <v>201</v>
      </c>
      <c r="F72" s="28">
        <v>2.0</v>
      </c>
      <c r="G72" s="28" t="s">
        <v>41</v>
      </c>
      <c r="H72" s="28" t="s">
        <v>130</v>
      </c>
      <c r="I72" s="28" t="s">
        <v>53</v>
      </c>
      <c r="J72" s="28">
        <v>515745.0</v>
      </c>
      <c r="K72" s="29" t="s">
        <v>54</v>
      </c>
      <c r="L72" s="26"/>
      <c r="M72" s="25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ht="18.0" customHeight="1">
      <c r="A73" s="27">
        <v>102.0</v>
      </c>
      <c r="B73" s="28" t="s">
        <v>139</v>
      </c>
      <c r="C73" s="28">
        <v>210203.0</v>
      </c>
      <c r="D73" s="28" t="s">
        <v>202</v>
      </c>
      <c r="E73" s="28" t="s">
        <v>203</v>
      </c>
      <c r="F73" s="28">
        <v>2.0</v>
      </c>
      <c r="G73" s="28" t="s">
        <v>41</v>
      </c>
      <c r="H73" s="28" t="s">
        <v>57</v>
      </c>
      <c r="I73" s="28" t="s">
        <v>57</v>
      </c>
      <c r="J73" s="28"/>
      <c r="K73" s="29" t="s">
        <v>58</v>
      </c>
      <c r="L73" s="26"/>
      <c r="M73" s="25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ht="18.0" customHeight="1">
      <c r="A74" s="27">
        <v>102.0</v>
      </c>
      <c r="B74" s="28" t="s">
        <v>139</v>
      </c>
      <c r="C74" s="28">
        <v>210204.0</v>
      </c>
      <c r="D74" s="28" t="s">
        <v>204</v>
      </c>
      <c r="E74" s="28" t="s">
        <v>205</v>
      </c>
      <c r="F74" s="28">
        <v>2.0</v>
      </c>
      <c r="G74" s="28" t="s">
        <v>41</v>
      </c>
      <c r="H74" s="28" t="s">
        <v>57</v>
      </c>
      <c r="I74" s="28" t="s">
        <v>57</v>
      </c>
      <c r="J74" s="28"/>
      <c r="K74" s="29" t="s">
        <v>58</v>
      </c>
      <c r="L74" s="26"/>
      <c r="M74" s="25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ht="18.0" customHeight="1">
      <c r="A75" s="27">
        <v>102.0</v>
      </c>
      <c r="B75" s="28" t="s">
        <v>139</v>
      </c>
      <c r="C75" s="28">
        <v>210205.0</v>
      </c>
      <c r="D75" s="28" t="s">
        <v>206</v>
      </c>
      <c r="E75" s="28" t="s">
        <v>207</v>
      </c>
      <c r="F75" s="28">
        <v>2.0</v>
      </c>
      <c r="G75" s="28" t="s">
        <v>41</v>
      </c>
      <c r="H75" s="28" t="s">
        <v>130</v>
      </c>
      <c r="I75" s="28" t="s">
        <v>53</v>
      </c>
      <c r="J75" s="28">
        <v>515810.0</v>
      </c>
      <c r="K75" s="29" t="s">
        <v>54</v>
      </c>
      <c r="L75" s="26"/>
      <c r="M75" s="25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ht="18.0" customHeight="1">
      <c r="A76" s="27">
        <v>102.0</v>
      </c>
      <c r="B76" s="28" t="s">
        <v>139</v>
      </c>
      <c r="C76" s="28">
        <v>210206.0</v>
      </c>
      <c r="D76" s="28" t="s">
        <v>208</v>
      </c>
      <c r="E76" s="28" t="s">
        <v>209</v>
      </c>
      <c r="F76" s="28">
        <v>2.0</v>
      </c>
      <c r="G76" s="28" t="s">
        <v>41</v>
      </c>
      <c r="H76" s="28" t="s">
        <v>130</v>
      </c>
      <c r="I76" s="28" t="s">
        <v>53</v>
      </c>
      <c r="J76" s="28">
        <v>261221.0</v>
      </c>
      <c r="K76" s="29" t="s">
        <v>54</v>
      </c>
      <c r="L76" s="26"/>
      <c r="M76" s="25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ht="18.0" customHeight="1">
      <c r="A77" s="27">
        <v>102.0</v>
      </c>
      <c r="B77" s="28" t="s">
        <v>139</v>
      </c>
      <c r="C77" s="28">
        <v>210207.0</v>
      </c>
      <c r="D77" s="28" t="s">
        <v>210</v>
      </c>
      <c r="E77" s="28" t="s">
        <v>211</v>
      </c>
      <c r="F77" s="28">
        <v>2.0</v>
      </c>
      <c r="G77" s="28" t="s">
        <v>41</v>
      </c>
      <c r="H77" s="28" t="s">
        <v>130</v>
      </c>
      <c r="I77" s="28" t="s">
        <v>53</v>
      </c>
      <c r="J77" s="28"/>
      <c r="K77" s="29" t="s">
        <v>54</v>
      </c>
      <c r="L77" s="26"/>
      <c r="M77" s="25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ht="18.0" customHeight="1">
      <c r="A78" s="27">
        <v>102.0</v>
      </c>
      <c r="B78" s="28" t="s">
        <v>139</v>
      </c>
      <c r="C78" s="28">
        <v>210208.0</v>
      </c>
      <c r="D78" s="28" t="s">
        <v>212</v>
      </c>
      <c r="E78" s="28" t="s">
        <v>213</v>
      </c>
      <c r="F78" s="28">
        <v>2.0</v>
      </c>
      <c r="G78" s="28" t="s">
        <v>41</v>
      </c>
      <c r="H78" s="28" t="s">
        <v>57</v>
      </c>
      <c r="I78" s="28" t="s">
        <v>57</v>
      </c>
      <c r="J78" s="28"/>
      <c r="K78" s="29" t="s">
        <v>58</v>
      </c>
      <c r="L78" s="26"/>
      <c r="M78" s="25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ht="18.0" customHeight="1">
      <c r="A79" s="27">
        <v>102.0</v>
      </c>
      <c r="B79" s="28" t="s">
        <v>139</v>
      </c>
      <c r="C79" s="28">
        <v>210209.0</v>
      </c>
      <c r="D79" s="28" t="s">
        <v>214</v>
      </c>
      <c r="E79" s="28" t="s">
        <v>215</v>
      </c>
      <c r="F79" s="28">
        <v>2.0</v>
      </c>
      <c r="G79" s="28" t="s">
        <v>41</v>
      </c>
      <c r="H79" s="28" t="s">
        <v>130</v>
      </c>
      <c r="I79" s="28" t="s">
        <v>53</v>
      </c>
      <c r="J79" s="28">
        <v>249330.0</v>
      </c>
      <c r="K79" s="29" t="s">
        <v>54</v>
      </c>
      <c r="L79" s="26"/>
      <c r="M79" s="25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ht="18.0" customHeight="1">
      <c r="A80" s="27">
        <v>102.0</v>
      </c>
      <c r="B80" s="28" t="s">
        <v>139</v>
      </c>
      <c r="C80" s="28">
        <v>210213.0</v>
      </c>
      <c r="D80" s="28" t="s">
        <v>216</v>
      </c>
      <c r="E80" s="28" t="s">
        <v>217</v>
      </c>
      <c r="F80" s="28">
        <v>2.0</v>
      </c>
      <c r="G80" s="28" t="s">
        <v>41</v>
      </c>
      <c r="H80" s="28" t="s">
        <v>57</v>
      </c>
      <c r="I80" s="28" t="s">
        <v>57</v>
      </c>
      <c r="J80" s="28"/>
      <c r="K80" s="29" t="s">
        <v>58</v>
      </c>
      <c r="L80" s="26"/>
      <c r="M80" s="25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ht="18.0" customHeight="1">
      <c r="A81" s="27">
        <v>102.0</v>
      </c>
      <c r="B81" s="28" t="s">
        <v>139</v>
      </c>
      <c r="C81" s="28">
        <v>210214.0</v>
      </c>
      <c r="D81" s="28" t="s">
        <v>218</v>
      </c>
      <c r="E81" s="28" t="s">
        <v>219</v>
      </c>
      <c r="F81" s="28">
        <v>2.0</v>
      </c>
      <c r="G81" s="28" t="s">
        <v>41</v>
      </c>
      <c r="H81" s="28" t="s">
        <v>130</v>
      </c>
      <c r="I81" s="28" t="s">
        <v>53</v>
      </c>
      <c r="J81" s="28">
        <v>515722.0</v>
      </c>
      <c r="K81" s="29" t="s">
        <v>54</v>
      </c>
      <c r="L81" s="26"/>
      <c r="M81" s="25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ht="18.0" customHeight="1">
      <c r="A82" s="27">
        <v>102.0</v>
      </c>
      <c r="B82" s="28" t="s">
        <v>139</v>
      </c>
      <c r="C82" s="28">
        <v>210215.0</v>
      </c>
      <c r="D82" s="28" t="s">
        <v>220</v>
      </c>
      <c r="E82" s="28" t="s">
        <v>221</v>
      </c>
      <c r="F82" s="28">
        <v>2.0</v>
      </c>
      <c r="G82" s="28" t="s">
        <v>41</v>
      </c>
      <c r="H82" s="28" t="s">
        <v>222</v>
      </c>
      <c r="I82" s="28" t="s">
        <v>53</v>
      </c>
      <c r="J82" s="28">
        <v>515813.0</v>
      </c>
      <c r="K82" s="29" t="s">
        <v>54</v>
      </c>
      <c r="L82" s="26"/>
      <c r="M82" s="25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ht="18.0" customHeight="1">
      <c r="A83" s="27">
        <v>102.0</v>
      </c>
      <c r="B83" s="28" t="s">
        <v>139</v>
      </c>
      <c r="C83" s="28">
        <v>210216.0</v>
      </c>
      <c r="D83" s="28" t="s">
        <v>223</v>
      </c>
      <c r="E83" s="28" t="s">
        <v>224</v>
      </c>
      <c r="F83" s="28">
        <v>2.0</v>
      </c>
      <c r="G83" s="28" t="s">
        <v>41</v>
      </c>
      <c r="H83" s="28" t="s">
        <v>57</v>
      </c>
      <c r="I83" s="28" t="s">
        <v>57</v>
      </c>
      <c r="J83" s="28"/>
      <c r="K83" s="29" t="s">
        <v>58</v>
      </c>
      <c r="L83" s="26"/>
      <c r="M83" s="25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ht="18.0" customHeight="1">
      <c r="A84" s="27">
        <v>102.0</v>
      </c>
      <c r="B84" s="28" t="s">
        <v>139</v>
      </c>
      <c r="C84" s="28">
        <v>210217.0</v>
      </c>
      <c r="D84" s="28" t="s">
        <v>225</v>
      </c>
      <c r="E84" s="28" t="s">
        <v>226</v>
      </c>
      <c r="F84" s="28">
        <v>2.0</v>
      </c>
      <c r="G84" s="28" t="s">
        <v>41</v>
      </c>
      <c r="H84" s="28" t="s">
        <v>130</v>
      </c>
      <c r="I84" s="28" t="s">
        <v>53</v>
      </c>
      <c r="J84" s="28">
        <v>261217.0</v>
      </c>
      <c r="K84" s="29" t="s">
        <v>54</v>
      </c>
      <c r="L84" s="26"/>
      <c r="M84" s="25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ht="18.0" customHeight="1">
      <c r="A85" s="27">
        <v>102.0</v>
      </c>
      <c r="B85" s="28" t="s">
        <v>139</v>
      </c>
      <c r="C85" s="28">
        <v>210218.0</v>
      </c>
      <c r="D85" s="28" t="s">
        <v>227</v>
      </c>
      <c r="E85" s="28" t="s">
        <v>228</v>
      </c>
      <c r="F85" s="28">
        <v>2.0</v>
      </c>
      <c r="G85" s="28" t="s">
        <v>41</v>
      </c>
      <c r="H85" s="28" t="s">
        <v>57</v>
      </c>
      <c r="I85" s="28" t="s">
        <v>57</v>
      </c>
      <c r="J85" s="28"/>
      <c r="K85" s="29" t="s">
        <v>58</v>
      </c>
      <c r="L85" s="26"/>
      <c r="M85" s="25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ht="18.0" customHeight="1">
      <c r="A86" s="27">
        <v>102.0</v>
      </c>
      <c r="B86" s="28" t="s">
        <v>139</v>
      </c>
      <c r="C86" s="28">
        <v>210219.0</v>
      </c>
      <c r="D86" s="28" t="s">
        <v>229</v>
      </c>
      <c r="E86" s="28" t="s">
        <v>230</v>
      </c>
      <c r="F86" s="28">
        <v>2.0</v>
      </c>
      <c r="G86" s="28" t="s">
        <v>44</v>
      </c>
      <c r="H86" s="28" t="s">
        <v>119</v>
      </c>
      <c r="I86" s="28" t="s">
        <v>53</v>
      </c>
      <c r="J86" s="28">
        <v>266153.0</v>
      </c>
      <c r="K86" s="29" t="s">
        <v>58</v>
      </c>
      <c r="L86" s="26"/>
      <c r="M86" s="25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ht="18.0" customHeight="1">
      <c r="A87" s="27">
        <v>102.0</v>
      </c>
      <c r="B87" s="28" t="s">
        <v>139</v>
      </c>
      <c r="C87" s="28">
        <v>210220.0</v>
      </c>
      <c r="D87" s="28" t="s">
        <v>231</v>
      </c>
      <c r="E87" s="28" t="s">
        <v>232</v>
      </c>
      <c r="F87" s="28">
        <v>2.0</v>
      </c>
      <c r="G87" s="28" t="s">
        <v>41</v>
      </c>
      <c r="H87" s="28" t="s">
        <v>57</v>
      </c>
      <c r="I87" s="28" t="s">
        <v>57</v>
      </c>
      <c r="J87" s="28"/>
      <c r="K87" s="29" t="s">
        <v>58</v>
      </c>
      <c r="L87" s="26"/>
      <c r="M87" s="25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ht="18.0" customHeight="1">
      <c r="A88" s="27">
        <v>102.0</v>
      </c>
      <c r="B88" s="28" t="s">
        <v>139</v>
      </c>
      <c r="C88" s="28">
        <v>210221.0</v>
      </c>
      <c r="D88" s="28" t="s">
        <v>233</v>
      </c>
      <c r="E88" s="28" t="s">
        <v>234</v>
      </c>
      <c r="F88" s="28">
        <v>2.0</v>
      </c>
      <c r="G88" s="28" t="s">
        <v>41</v>
      </c>
      <c r="H88" s="28" t="s">
        <v>130</v>
      </c>
      <c r="I88" s="28" t="s">
        <v>53</v>
      </c>
      <c r="J88" s="28">
        <v>249334.0</v>
      </c>
      <c r="K88" s="29" t="s">
        <v>54</v>
      </c>
      <c r="L88" s="26"/>
      <c r="M88" s="25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ht="18.0" customHeight="1">
      <c r="A89" s="27">
        <v>102.0</v>
      </c>
      <c r="B89" s="28" t="s">
        <v>139</v>
      </c>
      <c r="C89" s="28">
        <v>210222.0</v>
      </c>
      <c r="D89" s="28" t="s">
        <v>235</v>
      </c>
      <c r="E89" s="28" t="s">
        <v>236</v>
      </c>
      <c r="F89" s="28">
        <v>2.0</v>
      </c>
      <c r="G89" s="28" t="s">
        <v>41</v>
      </c>
      <c r="H89" s="28" t="s">
        <v>130</v>
      </c>
      <c r="I89" s="28" t="s">
        <v>53</v>
      </c>
      <c r="J89" s="28">
        <v>518390.0</v>
      </c>
      <c r="K89" s="29" t="s">
        <v>54</v>
      </c>
      <c r="L89" s="26"/>
      <c r="M89" s="25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ht="18.0" customHeight="1">
      <c r="A90" s="27">
        <v>102.0</v>
      </c>
      <c r="B90" s="28" t="s">
        <v>139</v>
      </c>
      <c r="C90" s="28">
        <v>210223.0</v>
      </c>
      <c r="D90" s="28" t="s">
        <v>237</v>
      </c>
      <c r="E90" s="28" t="s">
        <v>238</v>
      </c>
      <c r="F90" s="28">
        <v>2.0</v>
      </c>
      <c r="G90" s="28" t="s">
        <v>41</v>
      </c>
      <c r="H90" s="28" t="s">
        <v>130</v>
      </c>
      <c r="I90" s="28" t="s">
        <v>53</v>
      </c>
      <c r="J90" s="28">
        <v>249325.0</v>
      </c>
      <c r="K90" s="29" t="s">
        <v>54</v>
      </c>
      <c r="L90" s="26"/>
      <c r="M90" s="25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ht="18.0" customHeight="1">
      <c r="A91" s="27">
        <v>102.0</v>
      </c>
      <c r="B91" s="28" t="s">
        <v>139</v>
      </c>
      <c r="C91" s="28">
        <v>210224.0</v>
      </c>
      <c r="D91" s="28" t="s">
        <v>239</v>
      </c>
      <c r="E91" s="28" t="s">
        <v>240</v>
      </c>
      <c r="F91" s="28">
        <v>2.0</v>
      </c>
      <c r="G91" s="28" t="s">
        <v>41</v>
      </c>
      <c r="H91" s="28" t="s">
        <v>57</v>
      </c>
      <c r="I91" s="28" t="s">
        <v>57</v>
      </c>
      <c r="J91" s="28"/>
      <c r="K91" s="29" t="s">
        <v>54</v>
      </c>
      <c r="L91" s="26"/>
      <c r="M91" s="25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ht="18.0" customHeight="1">
      <c r="A92" s="27">
        <v>102.0</v>
      </c>
      <c r="B92" s="28" t="s">
        <v>139</v>
      </c>
      <c r="C92" s="28">
        <v>210225.0</v>
      </c>
      <c r="D92" s="28" t="s">
        <v>241</v>
      </c>
      <c r="E92" s="28" t="s">
        <v>242</v>
      </c>
      <c r="F92" s="28">
        <v>2.0</v>
      </c>
      <c r="G92" s="28" t="s">
        <v>41</v>
      </c>
      <c r="H92" s="28" t="s">
        <v>57</v>
      </c>
      <c r="I92" s="28" t="s">
        <v>57</v>
      </c>
      <c r="J92" s="28"/>
      <c r="K92" s="29" t="s">
        <v>58</v>
      </c>
      <c r="L92" s="26"/>
      <c r="M92" s="25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ht="18.0" customHeight="1">
      <c r="A93" s="27">
        <v>102.0</v>
      </c>
      <c r="B93" s="28" t="s">
        <v>139</v>
      </c>
      <c r="C93" s="28">
        <v>210226.0</v>
      </c>
      <c r="D93" s="28" t="s">
        <v>243</v>
      </c>
      <c r="E93" s="28" t="s">
        <v>244</v>
      </c>
      <c r="F93" s="28">
        <v>2.0</v>
      </c>
      <c r="G93" s="28" t="s">
        <v>41</v>
      </c>
      <c r="H93" s="28" t="s">
        <v>130</v>
      </c>
      <c r="I93" s="28" t="s">
        <v>53</v>
      </c>
      <c r="J93" s="28">
        <v>270407.0</v>
      </c>
      <c r="K93" s="29" t="s">
        <v>54</v>
      </c>
      <c r="L93" s="26"/>
      <c r="M93" s="25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ht="18.0" customHeight="1">
      <c r="A94" s="27">
        <v>102.0</v>
      </c>
      <c r="B94" s="28" t="s">
        <v>139</v>
      </c>
      <c r="C94" s="28">
        <v>210227.0</v>
      </c>
      <c r="D94" s="28" t="s">
        <v>245</v>
      </c>
      <c r="E94" s="28" t="s">
        <v>246</v>
      </c>
      <c r="F94" s="28">
        <v>2.0</v>
      </c>
      <c r="G94" s="28" t="s">
        <v>41</v>
      </c>
      <c r="H94" s="28" t="s">
        <v>57</v>
      </c>
      <c r="I94" s="28" t="s">
        <v>57</v>
      </c>
      <c r="J94" s="28"/>
      <c r="K94" s="29" t="s">
        <v>58</v>
      </c>
      <c r="L94" s="26"/>
      <c r="M94" s="25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ht="18.0" customHeight="1">
      <c r="A95" s="27">
        <v>102.0</v>
      </c>
      <c r="B95" s="28" t="s">
        <v>139</v>
      </c>
      <c r="C95" s="28">
        <v>210229.0</v>
      </c>
      <c r="D95" s="28" t="s">
        <v>247</v>
      </c>
      <c r="E95" s="28" t="s">
        <v>248</v>
      </c>
      <c r="F95" s="28">
        <v>2.0</v>
      </c>
      <c r="G95" s="28" t="s">
        <v>41</v>
      </c>
      <c r="H95" s="28" t="s">
        <v>130</v>
      </c>
      <c r="I95" s="28" t="s">
        <v>53</v>
      </c>
      <c r="J95" s="28">
        <v>270399.0</v>
      </c>
      <c r="K95" s="29" t="s">
        <v>54</v>
      </c>
      <c r="L95" s="26"/>
      <c r="M95" s="25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ht="18.0" customHeight="1">
      <c r="A96" s="27">
        <v>102.0</v>
      </c>
      <c r="B96" s="28" t="s">
        <v>139</v>
      </c>
      <c r="C96" s="28">
        <v>210230.0</v>
      </c>
      <c r="D96" s="28" t="s">
        <v>249</v>
      </c>
      <c r="E96" s="28" t="s">
        <v>250</v>
      </c>
      <c r="F96" s="28">
        <v>2.0</v>
      </c>
      <c r="G96" s="28" t="s">
        <v>41</v>
      </c>
      <c r="H96" s="28" t="s">
        <v>57</v>
      </c>
      <c r="I96" s="28" t="s">
        <v>57</v>
      </c>
      <c r="J96" s="28"/>
      <c r="K96" s="29" t="s">
        <v>58</v>
      </c>
      <c r="L96" s="26"/>
      <c r="M96" s="25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ht="18.0" customHeight="1">
      <c r="A97" s="27">
        <v>102.0</v>
      </c>
      <c r="B97" s="28" t="s">
        <v>139</v>
      </c>
      <c r="C97" s="28">
        <v>210231.0</v>
      </c>
      <c r="D97" s="28" t="s">
        <v>251</v>
      </c>
      <c r="E97" s="28" t="s">
        <v>252</v>
      </c>
      <c r="F97" s="28">
        <v>2.0</v>
      </c>
      <c r="G97" s="28" t="s">
        <v>41</v>
      </c>
      <c r="H97" s="28" t="s">
        <v>130</v>
      </c>
      <c r="I97" s="28" t="s">
        <v>53</v>
      </c>
      <c r="J97" s="28">
        <v>261205.0</v>
      </c>
      <c r="K97" s="29" t="s">
        <v>54</v>
      </c>
      <c r="L97" s="26"/>
      <c r="M97" s="25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ht="18.0" customHeight="1">
      <c r="A98" s="27">
        <v>102.0</v>
      </c>
      <c r="B98" s="28" t="s">
        <v>139</v>
      </c>
      <c r="C98" s="28">
        <v>210232.0</v>
      </c>
      <c r="D98" s="28" t="s">
        <v>253</v>
      </c>
      <c r="E98" s="28" t="s">
        <v>254</v>
      </c>
      <c r="F98" s="28">
        <v>2.0</v>
      </c>
      <c r="G98" s="28" t="s">
        <v>41</v>
      </c>
      <c r="H98" s="28" t="s">
        <v>130</v>
      </c>
      <c r="I98" s="28" t="s">
        <v>53</v>
      </c>
      <c r="J98" s="28">
        <v>249341.0</v>
      </c>
      <c r="K98" s="29" t="s">
        <v>54</v>
      </c>
      <c r="L98" s="26"/>
      <c r="M98" s="25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ht="18.0" customHeight="1">
      <c r="A99" s="27">
        <v>102.0</v>
      </c>
      <c r="B99" s="28" t="s">
        <v>139</v>
      </c>
      <c r="C99" s="28">
        <v>210233.0</v>
      </c>
      <c r="D99" s="28" t="s">
        <v>255</v>
      </c>
      <c r="E99" s="28" t="s">
        <v>256</v>
      </c>
      <c r="F99" s="28">
        <v>2.0</v>
      </c>
      <c r="G99" s="28" t="s">
        <v>41</v>
      </c>
      <c r="H99" s="28" t="s">
        <v>130</v>
      </c>
      <c r="I99" s="28" t="s">
        <v>53</v>
      </c>
      <c r="J99" s="28">
        <v>261204.0</v>
      </c>
      <c r="K99" s="29" t="s">
        <v>54</v>
      </c>
      <c r="L99" s="26"/>
      <c r="M99" s="25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ht="18.0" customHeight="1">
      <c r="A100" s="27">
        <v>102.0</v>
      </c>
      <c r="B100" s="28" t="s">
        <v>139</v>
      </c>
      <c r="C100" s="28">
        <v>210234.0</v>
      </c>
      <c r="D100" s="28" t="s">
        <v>257</v>
      </c>
      <c r="E100" s="28" t="s">
        <v>258</v>
      </c>
      <c r="F100" s="28">
        <v>2.0</v>
      </c>
      <c r="G100" s="28" t="s">
        <v>41</v>
      </c>
      <c r="H100" s="28" t="s">
        <v>130</v>
      </c>
      <c r="I100" s="28" t="s">
        <v>53</v>
      </c>
      <c r="J100" s="28">
        <v>515816.0</v>
      </c>
      <c r="K100" s="29" t="s">
        <v>54</v>
      </c>
      <c r="L100" s="26"/>
      <c r="M100" s="25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ht="18.0" customHeight="1">
      <c r="A101" s="27">
        <v>102.0</v>
      </c>
      <c r="B101" s="28" t="s">
        <v>139</v>
      </c>
      <c r="C101" s="28">
        <v>210235.0</v>
      </c>
      <c r="D101" s="28" t="s">
        <v>259</v>
      </c>
      <c r="E101" s="28" t="s">
        <v>260</v>
      </c>
      <c r="F101" s="28">
        <v>2.0</v>
      </c>
      <c r="G101" s="28" t="s">
        <v>41</v>
      </c>
      <c r="H101" s="28" t="s">
        <v>130</v>
      </c>
      <c r="I101" s="28" t="s">
        <v>53</v>
      </c>
      <c r="J101" s="28">
        <v>261219.0</v>
      </c>
      <c r="K101" s="29" t="s">
        <v>58</v>
      </c>
      <c r="L101" s="26"/>
      <c r="M101" s="25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ht="18.0" customHeight="1">
      <c r="A102" s="27">
        <v>102.0</v>
      </c>
      <c r="B102" s="28" t="s">
        <v>139</v>
      </c>
      <c r="C102" s="28">
        <v>210236.0</v>
      </c>
      <c r="D102" s="28" t="s">
        <v>261</v>
      </c>
      <c r="E102" s="28" t="s">
        <v>262</v>
      </c>
      <c r="F102" s="28">
        <v>2.0</v>
      </c>
      <c r="G102" s="28" t="s">
        <v>41</v>
      </c>
      <c r="H102" s="28" t="s">
        <v>130</v>
      </c>
      <c r="I102" s="28" t="s">
        <v>53</v>
      </c>
      <c r="J102" s="28">
        <v>261212.0</v>
      </c>
      <c r="K102" s="29" t="s">
        <v>54</v>
      </c>
      <c r="L102" s="26"/>
      <c r="M102" s="25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ht="18.0" customHeight="1">
      <c r="A103" s="27">
        <v>102.0</v>
      </c>
      <c r="B103" s="28" t="s">
        <v>139</v>
      </c>
      <c r="C103" s="28">
        <v>210237.0</v>
      </c>
      <c r="D103" s="28" t="s">
        <v>263</v>
      </c>
      <c r="E103" s="28" t="s">
        <v>264</v>
      </c>
      <c r="F103" s="28">
        <v>2.0</v>
      </c>
      <c r="G103" s="28" t="s">
        <v>41</v>
      </c>
      <c r="H103" s="28" t="s">
        <v>57</v>
      </c>
      <c r="I103" s="28" t="s">
        <v>57</v>
      </c>
      <c r="J103" s="28"/>
      <c r="K103" s="29" t="s">
        <v>58</v>
      </c>
      <c r="L103" s="26"/>
      <c r="M103" s="25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ht="18.0" customHeight="1">
      <c r="A104" s="27">
        <v>102.0</v>
      </c>
      <c r="B104" s="28" t="s">
        <v>139</v>
      </c>
      <c r="C104" s="28">
        <v>210238.0</v>
      </c>
      <c r="D104" s="28" t="s">
        <v>265</v>
      </c>
      <c r="E104" s="28" t="s">
        <v>266</v>
      </c>
      <c r="F104" s="28">
        <v>2.0</v>
      </c>
      <c r="G104" s="28" t="s">
        <v>44</v>
      </c>
      <c r="H104" s="28" t="s">
        <v>119</v>
      </c>
      <c r="I104" s="28" t="s">
        <v>53</v>
      </c>
      <c r="J104" s="28">
        <v>261224.0</v>
      </c>
      <c r="K104" s="29" t="s">
        <v>54</v>
      </c>
      <c r="L104" s="26"/>
      <c r="M104" s="25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ht="18.0" customHeight="1">
      <c r="A105" s="27">
        <v>102.0</v>
      </c>
      <c r="B105" s="28" t="s">
        <v>139</v>
      </c>
      <c r="C105" s="28">
        <v>210239.0</v>
      </c>
      <c r="D105" s="28" t="s">
        <v>267</v>
      </c>
      <c r="E105" s="28" t="s">
        <v>268</v>
      </c>
      <c r="F105" s="28">
        <v>2.0</v>
      </c>
      <c r="G105" s="28" t="s">
        <v>41</v>
      </c>
      <c r="H105" s="28" t="s">
        <v>57</v>
      </c>
      <c r="I105" s="28" t="s">
        <v>57</v>
      </c>
      <c r="J105" s="28"/>
      <c r="K105" s="29" t="s">
        <v>58</v>
      </c>
      <c r="L105" s="26"/>
      <c r="M105" s="25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ht="18.0" customHeight="1">
      <c r="A106" s="27">
        <v>102.0</v>
      </c>
      <c r="B106" s="28" t="s">
        <v>139</v>
      </c>
      <c r="C106" s="28">
        <v>210241.0</v>
      </c>
      <c r="D106" s="28" t="s">
        <v>269</v>
      </c>
      <c r="E106" s="28" t="s">
        <v>270</v>
      </c>
      <c r="F106" s="28">
        <v>2.0</v>
      </c>
      <c r="G106" s="28" t="s">
        <v>44</v>
      </c>
      <c r="H106" s="28" t="s">
        <v>119</v>
      </c>
      <c r="I106" s="28" t="s">
        <v>53</v>
      </c>
      <c r="J106" s="28">
        <v>261226.0</v>
      </c>
      <c r="K106" s="29" t="s">
        <v>54</v>
      </c>
      <c r="L106" s="26"/>
      <c r="M106" s="25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ht="18.0" customHeight="1">
      <c r="A107" s="27">
        <v>102.0</v>
      </c>
      <c r="B107" s="28" t="s">
        <v>139</v>
      </c>
      <c r="C107" s="28">
        <v>210242.0</v>
      </c>
      <c r="D107" s="28" t="s">
        <v>271</v>
      </c>
      <c r="E107" s="28" t="s">
        <v>272</v>
      </c>
      <c r="F107" s="28">
        <v>2.0</v>
      </c>
      <c r="G107" s="28" t="s">
        <v>41</v>
      </c>
      <c r="H107" s="28" t="s">
        <v>130</v>
      </c>
      <c r="I107" s="28" t="s">
        <v>53</v>
      </c>
      <c r="J107" s="28">
        <v>261208.0</v>
      </c>
      <c r="K107" s="29" t="s">
        <v>54</v>
      </c>
      <c r="L107" s="26"/>
      <c r="M107" s="25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ht="18.0" customHeight="1">
      <c r="A108" s="27">
        <v>102.0</v>
      </c>
      <c r="B108" s="28" t="s">
        <v>139</v>
      </c>
      <c r="C108" s="28">
        <v>210244.0</v>
      </c>
      <c r="D108" s="28" t="s">
        <v>273</v>
      </c>
      <c r="E108" s="28" t="s">
        <v>274</v>
      </c>
      <c r="F108" s="28">
        <v>2.0</v>
      </c>
      <c r="G108" s="28" t="s">
        <v>44</v>
      </c>
      <c r="H108" s="28" t="s">
        <v>57</v>
      </c>
      <c r="I108" s="28" t="s">
        <v>57</v>
      </c>
      <c r="J108" s="28"/>
      <c r="K108" s="29" t="s">
        <v>58</v>
      </c>
      <c r="L108" s="26"/>
      <c r="M108" s="25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ht="18.0" customHeight="1">
      <c r="A109" s="27">
        <v>102.0</v>
      </c>
      <c r="B109" s="28" t="s">
        <v>139</v>
      </c>
      <c r="C109" s="28">
        <v>110202.0</v>
      </c>
      <c r="D109" s="28" t="s">
        <v>275</v>
      </c>
      <c r="E109" s="28" t="s">
        <v>276</v>
      </c>
      <c r="F109" s="28">
        <v>3.0</v>
      </c>
      <c r="G109" s="28" t="s">
        <v>41</v>
      </c>
      <c r="H109" s="28" t="s">
        <v>222</v>
      </c>
      <c r="I109" s="28" t="s">
        <v>53</v>
      </c>
      <c r="J109" s="28"/>
      <c r="K109" s="29" t="s">
        <v>54</v>
      </c>
      <c r="L109" s="26"/>
      <c r="M109" s="25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ht="18.0" customHeight="1">
      <c r="A110" s="27">
        <v>102.0</v>
      </c>
      <c r="B110" s="28" t="s">
        <v>139</v>
      </c>
      <c r="C110" s="28">
        <v>110204.0</v>
      </c>
      <c r="D110" s="28" t="s">
        <v>277</v>
      </c>
      <c r="E110" s="28" t="s">
        <v>278</v>
      </c>
      <c r="F110" s="28">
        <v>3.0</v>
      </c>
      <c r="G110" s="28" t="s">
        <v>41</v>
      </c>
      <c r="H110" s="28" t="s">
        <v>57</v>
      </c>
      <c r="I110" s="28" t="s">
        <v>57</v>
      </c>
      <c r="J110" s="28"/>
      <c r="K110" s="29" t="s">
        <v>58</v>
      </c>
      <c r="L110" s="26"/>
      <c r="M110" s="25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ht="18.0" customHeight="1">
      <c r="A111" s="27">
        <v>102.0</v>
      </c>
      <c r="B111" s="28" t="s">
        <v>139</v>
      </c>
      <c r="C111" s="28">
        <v>110205.0</v>
      </c>
      <c r="D111" s="28" t="s">
        <v>279</v>
      </c>
      <c r="E111" s="28" t="s">
        <v>280</v>
      </c>
      <c r="F111" s="28">
        <v>3.0</v>
      </c>
      <c r="G111" s="28" t="s">
        <v>41</v>
      </c>
      <c r="H111" s="28" t="s">
        <v>57</v>
      </c>
      <c r="I111" s="28" t="s">
        <v>57</v>
      </c>
      <c r="J111" s="28"/>
      <c r="K111" s="29" t="s">
        <v>58</v>
      </c>
      <c r="L111" s="26"/>
      <c r="M111" s="25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ht="18.0" customHeight="1">
      <c r="A112" s="27">
        <v>102.0</v>
      </c>
      <c r="B112" s="28" t="s">
        <v>139</v>
      </c>
      <c r="C112" s="28">
        <v>110208.0</v>
      </c>
      <c r="D112" s="28" t="s">
        <v>281</v>
      </c>
      <c r="E112" s="28" t="s">
        <v>282</v>
      </c>
      <c r="F112" s="28">
        <v>3.0</v>
      </c>
      <c r="G112" s="28" t="s">
        <v>44</v>
      </c>
      <c r="H112" s="28" t="s">
        <v>119</v>
      </c>
      <c r="I112" s="28" t="s">
        <v>53</v>
      </c>
      <c r="J112" s="28">
        <v>266154.0</v>
      </c>
      <c r="K112" s="29" t="s">
        <v>54</v>
      </c>
      <c r="L112" s="26"/>
      <c r="M112" s="25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ht="18.0" customHeight="1">
      <c r="A113" s="27">
        <v>102.0</v>
      </c>
      <c r="B113" s="28" t="s">
        <v>139</v>
      </c>
      <c r="C113" s="28">
        <v>110209.0</v>
      </c>
      <c r="D113" s="28" t="s">
        <v>283</v>
      </c>
      <c r="E113" s="28" t="s">
        <v>284</v>
      </c>
      <c r="F113" s="28">
        <v>3.0</v>
      </c>
      <c r="G113" s="28" t="s">
        <v>41</v>
      </c>
      <c r="H113" s="28" t="s">
        <v>130</v>
      </c>
      <c r="I113" s="28" t="s">
        <v>53</v>
      </c>
      <c r="J113" s="28"/>
      <c r="K113" s="29" t="s">
        <v>54</v>
      </c>
      <c r="L113" s="26"/>
      <c r="M113" s="25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ht="18.0" customHeight="1">
      <c r="A114" s="27">
        <v>102.0</v>
      </c>
      <c r="B114" s="28" t="s">
        <v>139</v>
      </c>
      <c r="C114" s="28">
        <v>110210.0</v>
      </c>
      <c r="D114" s="28" t="s">
        <v>285</v>
      </c>
      <c r="E114" s="28" t="s">
        <v>286</v>
      </c>
      <c r="F114" s="28">
        <v>3.0</v>
      </c>
      <c r="G114" s="28" t="s">
        <v>41</v>
      </c>
      <c r="H114" s="28" t="s">
        <v>130</v>
      </c>
      <c r="I114" s="28" t="s">
        <v>53</v>
      </c>
      <c r="J114" s="28">
        <v>266150.0</v>
      </c>
      <c r="K114" s="29" t="s">
        <v>58</v>
      </c>
      <c r="L114" s="26"/>
      <c r="M114" s="25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ht="18.0" customHeight="1">
      <c r="A115" s="27">
        <v>102.0</v>
      </c>
      <c r="B115" s="28" t="s">
        <v>139</v>
      </c>
      <c r="C115" s="28">
        <v>110211.0</v>
      </c>
      <c r="D115" s="28" t="s">
        <v>287</v>
      </c>
      <c r="E115" s="28" t="s">
        <v>288</v>
      </c>
      <c r="F115" s="28">
        <v>3.0</v>
      </c>
      <c r="G115" s="28" t="s">
        <v>41</v>
      </c>
      <c r="H115" s="28" t="s">
        <v>57</v>
      </c>
      <c r="I115" s="28" t="s">
        <v>57</v>
      </c>
      <c r="J115" s="28"/>
      <c r="K115" s="29" t="s">
        <v>58</v>
      </c>
      <c r="L115" s="26"/>
      <c r="M115" s="25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ht="18.0" customHeight="1">
      <c r="A116" s="27">
        <v>102.0</v>
      </c>
      <c r="B116" s="28" t="s">
        <v>139</v>
      </c>
      <c r="C116" s="28">
        <v>110213.0</v>
      </c>
      <c r="D116" s="28" t="s">
        <v>289</v>
      </c>
      <c r="E116" s="28" t="s">
        <v>290</v>
      </c>
      <c r="F116" s="28">
        <v>3.0</v>
      </c>
      <c r="G116" s="28" t="s">
        <v>41</v>
      </c>
      <c r="H116" s="28" t="s">
        <v>130</v>
      </c>
      <c r="I116" s="28" t="s">
        <v>53</v>
      </c>
      <c r="J116" s="28"/>
      <c r="K116" s="29" t="s">
        <v>58</v>
      </c>
      <c r="L116" s="26"/>
      <c r="M116" s="25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ht="18.0" customHeight="1">
      <c r="A117" s="27">
        <v>102.0</v>
      </c>
      <c r="B117" s="28" t="s">
        <v>139</v>
      </c>
      <c r="C117" s="28">
        <v>110216.0</v>
      </c>
      <c r="D117" s="28" t="s">
        <v>291</v>
      </c>
      <c r="E117" s="28" t="s">
        <v>292</v>
      </c>
      <c r="F117" s="28">
        <v>3.0</v>
      </c>
      <c r="G117" s="28" t="s">
        <v>41</v>
      </c>
      <c r="H117" s="28" t="s">
        <v>57</v>
      </c>
      <c r="I117" s="28" t="s">
        <v>57</v>
      </c>
      <c r="J117" s="28"/>
      <c r="K117" s="29" t="s">
        <v>58</v>
      </c>
      <c r="L117" s="26"/>
      <c r="M117" s="25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ht="18.0" customHeight="1">
      <c r="A118" s="27">
        <v>102.0</v>
      </c>
      <c r="B118" s="28" t="s">
        <v>139</v>
      </c>
      <c r="C118" s="28">
        <v>110217.0</v>
      </c>
      <c r="D118" s="28" t="s">
        <v>293</v>
      </c>
      <c r="E118" s="28" t="s">
        <v>294</v>
      </c>
      <c r="F118" s="28">
        <v>3.0</v>
      </c>
      <c r="G118" s="28" t="s">
        <v>41</v>
      </c>
      <c r="H118" s="28" t="s">
        <v>130</v>
      </c>
      <c r="I118" s="28" t="s">
        <v>53</v>
      </c>
      <c r="J118" s="28">
        <v>266152.0</v>
      </c>
      <c r="K118" s="29" t="s">
        <v>58</v>
      </c>
      <c r="L118" s="26"/>
      <c r="M118" s="25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ht="18.0" customHeight="1">
      <c r="A119" s="27">
        <v>102.0</v>
      </c>
      <c r="B119" s="28" t="s">
        <v>139</v>
      </c>
      <c r="C119" s="28">
        <v>110218.0</v>
      </c>
      <c r="D119" s="28" t="s">
        <v>295</v>
      </c>
      <c r="E119" s="28" t="s">
        <v>296</v>
      </c>
      <c r="F119" s="28">
        <v>3.0</v>
      </c>
      <c r="G119" s="28" t="s">
        <v>44</v>
      </c>
      <c r="H119" s="28" t="s">
        <v>119</v>
      </c>
      <c r="I119" s="28" t="s">
        <v>53</v>
      </c>
      <c r="J119" s="28">
        <v>266151.0</v>
      </c>
      <c r="K119" s="29" t="s">
        <v>54</v>
      </c>
      <c r="L119" s="26"/>
      <c r="M119" s="25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ht="18.0" customHeight="1">
      <c r="A120" s="27">
        <v>102.0</v>
      </c>
      <c r="B120" s="28" t="s">
        <v>139</v>
      </c>
      <c r="C120" s="28">
        <v>110219.0</v>
      </c>
      <c r="D120" s="28" t="s">
        <v>297</v>
      </c>
      <c r="E120" s="28" t="s">
        <v>298</v>
      </c>
      <c r="F120" s="28">
        <v>3.0</v>
      </c>
      <c r="G120" s="28" t="s">
        <v>41</v>
      </c>
      <c r="H120" s="28" t="s">
        <v>130</v>
      </c>
      <c r="I120" s="28" t="s">
        <v>53</v>
      </c>
      <c r="J120" s="28"/>
      <c r="K120" s="29" t="s">
        <v>54</v>
      </c>
      <c r="L120" s="26"/>
      <c r="M120" s="25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ht="18.0" customHeight="1">
      <c r="A121" s="27">
        <v>102.0</v>
      </c>
      <c r="B121" s="28" t="s">
        <v>139</v>
      </c>
      <c r="C121" s="28">
        <v>110221.0</v>
      </c>
      <c r="D121" s="28" t="s">
        <v>299</v>
      </c>
      <c r="E121" s="28" t="s">
        <v>300</v>
      </c>
      <c r="F121" s="28">
        <v>3.0</v>
      </c>
      <c r="G121" s="28" t="s">
        <v>44</v>
      </c>
      <c r="H121" s="28" t="s">
        <v>119</v>
      </c>
      <c r="I121" s="28" t="s">
        <v>53</v>
      </c>
      <c r="J121" s="28">
        <v>270409.0</v>
      </c>
      <c r="K121" s="29" t="s">
        <v>54</v>
      </c>
      <c r="L121" s="26"/>
      <c r="M121" s="25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ht="18.0" customHeight="1">
      <c r="A122" s="27">
        <v>102.0</v>
      </c>
      <c r="B122" s="28" t="s">
        <v>139</v>
      </c>
      <c r="C122" s="28">
        <v>110222.0</v>
      </c>
      <c r="D122" s="28" t="s">
        <v>301</v>
      </c>
      <c r="E122" s="28" t="s">
        <v>302</v>
      </c>
      <c r="F122" s="28">
        <v>3.0</v>
      </c>
      <c r="G122" s="28" t="s">
        <v>41</v>
      </c>
      <c r="H122" s="28" t="s">
        <v>57</v>
      </c>
      <c r="I122" s="28" t="s">
        <v>57</v>
      </c>
      <c r="J122" s="28"/>
      <c r="K122" s="29" t="s">
        <v>58</v>
      </c>
      <c r="L122" s="26"/>
      <c r="M122" s="25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ht="18.0" customHeight="1">
      <c r="A123" s="27">
        <v>102.0</v>
      </c>
      <c r="B123" s="28" t="s">
        <v>139</v>
      </c>
      <c r="C123" s="28">
        <v>110223.0</v>
      </c>
      <c r="D123" s="28" t="s">
        <v>303</v>
      </c>
      <c r="E123" s="28" t="s">
        <v>304</v>
      </c>
      <c r="F123" s="28">
        <v>3.0</v>
      </c>
      <c r="G123" s="28" t="s">
        <v>41</v>
      </c>
      <c r="H123" s="28" t="s">
        <v>130</v>
      </c>
      <c r="I123" s="28" t="s">
        <v>53</v>
      </c>
      <c r="J123" s="28">
        <v>261211.0</v>
      </c>
      <c r="K123" s="29" t="s">
        <v>54</v>
      </c>
      <c r="L123" s="26"/>
      <c r="M123" s="25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ht="18.0" customHeight="1">
      <c r="A124" s="27">
        <v>102.0</v>
      </c>
      <c r="B124" s="28" t="s">
        <v>139</v>
      </c>
      <c r="C124" s="28">
        <v>110224.0</v>
      </c>
      <c r="D124" s="28" t="s">
        <v>305</v>
      </c>
      <c r="E124" s="28" t="s">
        <v>306</v>
      </c>
      <c r="F124" s="28">
        <v>3.0</v>
      </c>
      <c r="G124" s="28" t="s">
        <v>44</v>
      </c>
      <c r="H124" s="28" t="s">
        <v>119</v>
      </c>
      <c r="I124" s="28" t="s">
        <v>53</v>
      </c>
      <c r="J124" s="28">
        <v>270397.0</v>
      </c>
      <c r="K124" s="29" t="s">
        <v>58</v>
      </c>
      <c r="L124" s="26"/>
      <c r="M124" s="25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ht="18.0" customHeight="1">
      <c r="A125" s="27">
        <v>102.0</v>
      </c>
      <c r="B125" s="28" t="s">
        <v>139</v>
      </c>
      <c r="C125" s="28">
        <v>110226.0</v>
      </c>
      <c r="D125" s="28" t="s">
        <v>307</v>
      </c>
      <c r="E125" s="28" t="s">
        <v>308</v>
      </c>
      <c r="F125" s="28">
        <v>3.0</v>
      </c>
      <c r="G125" s="28" t="s">
        <v>41</v>
      </c>
      <c r="H125" s="28" t="s">
        <v>57</v>
      </c>
      <c r="I125" s="28" t="s">
        <v>57</v>
      </c>
      <c r="J125" s="28"/>
      <c r="K125" s="29" t="s">
        <v>58</v>
      </c>
      <c r="L125" s="26"/>
      <c r="M125" s="25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ht="18.0" customHeight="1">
      <c r="A126" s="27">
        <v>102.0</v>
      </c>
      <c r="B126" s="28" t="s">
        <v>139</v>
      </c>
      <c r="C126" s="28">
        <v>110228.0</v>
      </c>
      <c r="D126" s="28" t="s">
        <v>309</v>
      </c>
      <c r="E126" s="28" t="s">
        <v>310</v>
      </c>
      <c r="F126" s="28">
        <v>3.0</v>
      </c>
      <c r="G126" s="28" t="s">
        <v>41</v>
      </c>
      <c r="H126" s="28" t="s">
        <v>130</v>
      </c>
      <c r="I126" s="28" t="s">
        <v>53</v>
      </c>
      <c r="J126" s="28">
        <v>515721.0</v>
      </c>
      <c r="K126" s="29" t="s">
        <v>54</v>
      </c>
      <c r="L126" s="26"/>
      <c r="M126" s="25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ht="18.0" customHeight="1">
      <c r="A127" s="27">
        <v>102.0</v>
      </c>
      <c r="B127" s="28" t="s">
        <v>139</v>
      </c>
      <c r="C127" s="28">
        <v>110229.0</v>
      </c>
      <c r="D127" s="28" t="s">
        <v>311</v>
      </c>
      <c r="E127" s="28" t="s">
        <v>312</v>
      </c>
      <c r="F127" s="28">
        <v>3.0</v>
      </c>
      <c r="G127" s="28" t="s">
        <v>41</v>
      </c>
      <c r="H127" s="28" t="s">
        <v>130</v>
      </c>
      <c r="I127" s="28" t="s">
        <v>53</v>
      </c>
      <c r="J127" s="28">
        <v>270400.0</v>
      </c>
      <c r="K127" s="29" t="s">
        <v>54</v>
      </c>
      <c r="L127" s="26"/>
      <c r="M127" s="25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ht="18.0" customHeight="1">
      <c r="A128" s="27">
        <v>102.0</v>
      </c>
      <c r="B128" s="28" t="s">
        <v>139</v>
      </c>
      <c r="C128" s="28">
        <v>110231.0</v>
      </c>
      <c r="D128" s="28" t="s">
        <v>313</v>
      </c>
      <c r="E128" s="28" t="s">
        <v>314</v>
      </c>
      <c r="F128" s="28">
        <v>3.0</v>
      </c>
      <c r="G128" s="28" t="s">
        <v>41</v>
      </c>
      <c r="H128" s="28" t="s">
        <v>130</v>
      </c>
      <c r="I128" s="28" t="s">
        <v>53</v>
      </c>
      <c r="J128" s="28">
        <v>270403.0</v>
      </c>
      <c r="K128" s="29" t="s">
        <v>58</v>
      </c>
      <c r="L128" s="26"/>
      <c r="M128" s="25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ht="18.0" customHeight="1">
      <c r="A129" s="27">
        <v>102.0</v>
      </c>
      <c r="B129" s="28" t="s">
        <v>139</v>
      </c>
      <c r="C129" s="28">
        <v>110232.0</v>
      </c>
      <c r="D129" s="28" t="s">
        <v>315</v>
      </c>
      <c r="E129" s="28" t="s">
        <v>316</v>
      </c>
      <c r="F129" s="28">
        <v>3.0</v>
      </c>
      <c r="G129" s="28" t="s">
        <v>41</v>
      </c>
      <c r="H129" s="28" t="s">
        <v>57</v>
      </c>
      <c r="I129" s="28" t="s">
        <v>57</v>
      </c>
      <c r="J129" s="28"/>
      <c r="K129" s="29" t="s">
        <v>58</v>
      </c>
      <c r="L129" s="26"/>
      <c r="M129" s="25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ht="18.0" customHeight="1">
      <c r="A130" s="27">
        <v>102.0</v>
      </c>
      <c r="B130" s="28" t="s">
        <v>139</v>
      </c>
      <c r="C130" s="28">
        <v>110233.0</v>
      </c>
      <c r="D130" s="28" t="s">
        <v>317</v>
      </c>
      <c r="E130" s="28" t="s">
        <v>318</v>
      </c>
      <c r="F130" s="28">
        <v>3.0</v>
      </c>
      <c r="G130" s="28" t="s">
        <v>41</v>
      </c>
      <c r="H130" s="28" t="s">
        <v>130</v>
      </c>
      <c r="I130" s="28" t="s">
        <v>53</v>
      </c>
      <c r="J130" s="28">
        <v>256450.0</v>
      </c>
      <c r="K130" s="29" t="s">
        <v>54</v>
      </c>
      <c r="L130" s="26"/>
      <c r="M130" s="25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ht="18.0" customHeight="1">
      <c r="A131" s="27">
        <v>102.0</v>
      </c>
      <c r="B131" s="28" t="s">
        <v>139</v>
      </c>
      <c r="C131" s="28">
        <v>110234.0</v>
      </c>
      <c r="D131" s="28" t="s">
        <v>319</v>
      </c>
      <c r="E131" s="28" t="s">
        <v>320</v>
      </c>
      <c r="F131" s="28">
        <v>3.0</v>
      </c>
      <c r="G131" s="28" t="s">
        <v>41</v>
      </c>
      <c r="H131" s="28" t="s">
        <v>57</v>
      </c>
      <c r="I131" s="28" t="s">
        <v>57</v>
      </c>
      <c r="J131" s="28"/>
      <c r="K131" s="29" t="s">
        <v>58</v>
      </c>
      <c r="L131" s="26"/>
      <c r="M131" s="25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ht="18.0" customHeight="1">
      <c r="A132" s="27">
        <v>102.0</v>
      </c>
      <c r="B132" s="28" t="s">
        <v>139</v>
      </c>
      <c r="C132" s="28">
        <v>110235.0</v>
      </c>
      <c r="D132" s="28" t="s">
        <v>321</v>
      </c>
      <c r="E132" s="28" t="s">
        <v>322</v>
      </c>
      <c r="F132" s="28">
        <v>3.0</v>
      </c>
      <c r="G132" s="28" t="s">
        <v>41</v>
      </c>
      <c r="H132" s="28" t="s">
        <v>130</v>
      </c>
      <c r="I132" s="28" t="s">
        <v>53</v>
      </c>
      <c r="J132" s="28">
        <v>515806.0</v>
      </c>
      <c r="K132" s="29" t="s">
        <v>54</v>
      </c>
      <c r="L132" s="26"/>
      <c r="M132" s="25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ht="18.0" customHeight="1">
      <c r="A133" s="27">
        <v>102.0</v>
      </c>
      <c r="B133" s="28" t="s">
        <v>139</v>
      </c>
      <c r="C133" s="28">
        <v>110236.0</v>
      </c>
      <c r="D133" s="28" t="s">
        <v>323</v>
      </c>
      <c r="E133" s="28" t="s">
        <v>324</v>
      </c>
      <c r="F133" s="28">
        <v>3.0</v>
      </c>
      <c r="G133" s="28" t="s">
        <v>41</v>
      </c>
      <c r="H133" s="28" t="s">
        <v>57</v>
      </c>
      <c r="I133" s="28" t="s">
        <v>57</v>
      </c>
      <c r="J133" s="28"/>
      <c r="K133" s="29" t="s">
        <v>58</v>
      </c>
      <c r="L133" s="26"/>
      <c r="M133" s="25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ht="18.0" customHeight="1">
      <c r="A134" s="27">
        <v>102.0</v>
      </c>
      <c r="B134" s="28" t="s">
        <v>139</v>
      </c>
      <c r="C134" s="28">
        <v>110239.0</v>
      </c>
      <c r="D134" s="28" t="s">
        <v>325</v>
      </c>
      <c r="E134" s="28" t="s">
        <v>326</v>
      </c>
      <c r="F134" s="28">
        <v>3.0</v>
      </c>
      <c r="G134" s="28" t="s">
        <v>41</v>
      </c>
      <c r="H134" s="28" t="s">
        <v>130</v>
      </c>
      <c r="I134" s="28" t="s">
        <v>53</v>
      </c>
      <c r="J134" s="28">
        <v>515812.0</v>
      </c>
      <c r="K134" s="29" t="s">
        <v>54</v>
      </c>
      <c r="L134" s="26"/>
      <c r="M134" s="25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ht="18.0" customHeight="1">
      <c r="A135" s="27">
        <v>102.0</v>
      </c>
      <c r="B135" s="28" t="s">
        <v>139</v>
      </c>
      <c r="C135" s="28">
        <v>10201.0</v>
      </c>
      <c r="D135" s="28" t="s">
        <v>327</v>
      </c>
      <c r="E135" s="28" t="s">
        <v>328</v>
      </c>
      <c r="F135" s="28">
        <v>4.0</v>
      </c>
      <c r="G135" s="28" t="s">
        <v>41</v>
      </c>
      <c r="H135" s="28" t="s">
        <v>130</v>
      </c>
      <c r="I135" s="28" t="s">
        <v>53</v>
      </c>
      <c r="J135" s="28">
        <v>270403.0</v>
      </c>
      <c r="K135" s="29" t="s">
        <v>54</v>
      </c>
      <c r="L135" s="26"/>
      <c r="M135" s="25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ht="18.0" customHeight="1">
      <c r="A136" s="27">
        <v>103.0</v>
      </c>
      <c r="B136" s="28" t="s">
        <v>329</v>
      </c>
      <c r="C136" s="28">
        <v>310302.0</v>
      </c>
      <c r="D136" s="28" t="s">
        <v>330</v>
      </c>
      <c r="E136" s="28" t="s">
        <v>331</v>
      </c>
      <c r="F136" s="28">
        <v>1.0</v>
      </c>
      <c r="G136" s="28" t="s">
        <v>44</v>
      </c>
      <c r="H136" s="28" t="s">
        <v>61</v>
      </c>
      <c r="I136" s="28" t="s">
        <v>53</v>
      </c>
      <c r="J136" s="28"/>
      <c r="K136" s="29" t="s">
        <v>54</v>
      </c>
      <c r="L136" s="30" t="s">
        <v>332</v>
      </c>
      <c r="M136" s="25" t="s">
        <v>333</v>
      </c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ht="18.0" customHeight="1">
      <c r="A137" s="27">
        <v>103.0</v>
      </c>
      <c r="B137" s="28" t="s">
        <v>329</v>
      </c>
      <c r="C137" s="28">
        <v>310304.0</v>
      </c>
      <c r="D137" s="28" t="s">
        <v>334</v>
      </c>
      <c r="E137" s="28" t="s">
        <v>335</v>
      </c>
      <c r="F137" s="28">
        <v>1.0</v>
      </c>
      <c r="G137" s="28" t="s">
        <v>41</v>
      </c>
      <c r="H137" s="28" t="s">
        <v>52</v>
      </c>
      <c r="I137" s="28" t="s">
        <v>53</v>
      </c>
      <c r="J137" s="28"/>
      <c r="K137" s="29" t="s">
        <v>54</v>
      </c>
      <c r="L137" s="31" t="s">
        <v>332</v>
      </c>
      <c r="M137" s="25" t="s">
        <v>333</v>
      </c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ht="18.0" customHeight="1">
      <c r="A138" s="27">
        <v>103.0</v>
      </c>
      <c r="B138" s="28" t="s">
        <v>329</v>
      </c>
      <c r="C138" s="28">
        <v>310307.0</v>
      </c>
      <c r="D138" s="28" t="s">
        <v>336</v>
      </c>
      <c r="E138" s="28" t="s">
        <v>337</v>
      </c>
      <c r="F138" s="28">
        <v>1.0</v>
      </c>
      <c r="G138" s="28" t="s">
        <v>41</v>
      </c>
      <c r="H138" s="28" t="s">
        <v>52</v>
      </c>
      <c r="I138" s="28" t="s">
        <v>53</v>
      </c>
      <c r="J138" s="28"/>
      <c r="K138" s="29" t="s">
        <v>54</v>
      </c>
      <c r="L138" s="31" t="s">
        <v>332</v>
      </c>
      <c r="M138" s="25" t="s">
        <v>333</v>
      </c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ht="18.0" customHeight="1">
      <c r="A139" s="27">
        <v>103.0</v>
      </c>
      <c r="B139" s="28" t="s">
        <v>329</v>
      </c>
      <c r="C139" s="28">
        <v>310308.0</v>
      </c>
      <c r="D139" s="28" t="s">
        <v>338</v>
      </c>
      <c r="E139" s="28" t="s">
        <v>339</v>
      </c>
      <c r="F139" s="28">
        <v>1.0</v>
      </c>
      <c r="G139" s="28" t="s">
        <v>44</v>
      </c>
      <c r="H139" s="28" t="s">
        <v>61</v>
      </c>
      <c r="I139" s="28" t="s">
        <v>53</v>
      </c>
      <c r="J139" s="28"/>
      <c r="K139" s="29" t="s">
        <v>54</v>
      </c>
      <c r="L139" s="31" t="s">
        <v>332</v>
      </c>
      <c r="M139" s="25" t="s">
        <v>333</v>
      </c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ht="18.0" customHeight="1">
      <c r="A140" s="27">
        <v>103.0</v>
      </c>
      <c r="B140" s="28" t="s">
        <v>329</v>
      </c>
      <c r="C140" s="28">
        <v>310309.0</v>
      </c>
      <c r="D140" s="28" t="s">
        <v>340</v>
      </c>
      <c r="E140" s="28" t="s">
        <v>341</v>
      </c>
      <c r="F140" s="28">
        <v>1.0</v>
      </c>
      <c r="G140" s="28" t="s">
        <v>44</v>
      </c>
      <c r="H140" s="28" t="s">
        <v>61</v>
      </c>
      <c r="I140" s="28" t="s">
        <v>53</v>
      </c>
      <c r="J140" s="28"/>
      <c r="K140" s="29" t="s">
        <v>54</v>
      </c>
      <c r="L140" s="31" t="s">
        <v>332</v>
      </c>
      <c r="M140" s="25" t="s">
        <v>333</v>
      </c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ht="18.0" customHeight="1">
      <c r="A141" s="27">
        <v>103.0</v>
      </c>
      <c r="B141" s="28" t="s">
        <v>329</v>
      </c>
      <c r="C141" s="28">
        <v>310311.0</v>
      </c>
      <c r="D141" s="28" t="s">
        <v>342</v>
      </c>
      <c r="E141" s="28" t="s">
        <v>343</v>
      </c>
      <c r="F141" s="28">
        <v>1.0</v>
      </c>
      <c r="G141" s="28" t="s">
        <v>41</v>
      </c>
      <c r="H141" s="28" t="s">
        <v>52</v>
      </c>
      <c r="I141" s="28" t="s">
        <v>53</v>
      </c>
      <c r="J141" s="28"/>
      <c r="K141" s="29" t="s">
        <v>54</v>
      </c>
      <c r="L141" s="31" t="s">
        <v>332</v>
      </c>
      <c r="M141" s="25" t="s">
        <v>333</v>
      </c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ht="18.0" customHeight="1">
      <c r="A142" s="27">
        <v>103.0</v>
      </c>
      <c r="B142" s="28" t="s">
        <v>329</v>
      </c>
      <c r="C142" s="28">
        <v>310313.0</v>
      </c>
      <c r="D142" s="28" t="s">
        <v>344</v>
      </c>
      <c r="E142" s="28" t="s">
        <v>345</v>
      </c>
      <c r="F142" s="28">
        <v>1.0</v>
      </c>
      <c r="G142" s="28" t="s">
        <v>44</v>
      </c>
      <c r="H142" s="28" t="s">
        <v>61</v>
      </c>
      <c r="I142" s="28" t="s">
        <v>53</v>
      </c>
      <c r="J142" s="28"/>
      <c r="K142" s="29" t="s">
        <v>54</v>
      </c>
      <c r="L142" s="31" t="s">
        <v>332</v>
      </c>
      <c r="M142" s="25" t="s">
        <v>333</v>
      </c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ht="18.0" customHeight="1">
      <c r="A143" s="27">
        <v>103.0</v>
      </c>
      <c r="B143" s="28" t="s">
        <v>329</v>
      </c>
      <c r="C143" s="28">
        <v>310316.0</v>
      </c>
      <c r="D143" s="28" t="s">
        <v>346</v>
      </c>
      <c r="E143" s="28" t="s">
        <v>347</v>
      </c>
      <c r="F143" s="28">
        <v>1.0</v>
      </c>
      <c r="G143" s="28" t="s">
        <v>41</v>
      </c>
      <c r="H143" s="28" t="s">
        <v>52</v>
      </c>
      <c r="I143" s="28" t="s">
        <v>53</v>
      </c>
      <c r="J143" s="28"/>
      <c r="K143" s="29" t="s">
        <v>54</v>
      </c>
      <c r="L143" s="31" t="s">
        <v>332</v>
      </c>
      <c r="M143" s="25" t="s">
        <v>333</v>
      </c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ht="18.0" customHeight="1">
      <c r="A144" s="27">
        <v>103.0</v>
      </c>
      <c r="B144" s="28" t="s">
        <v>329</v>
      </c>
      <c r="C144" s="28">
        <v>310317.0</v>
      </c>
      <c r="D144" s="28" t="s">
        <v>348</v>
      </c>
      <c r="E144" s="28" t="s">
        <v>349</v>
      </c>
      <c r="F144" s="28">
        <v>1.0</v>
      </c>
      <c r="G144" s="28" t="s">
        <v>44</v>
      </c>
      <c r="H144" s="28" t="s">
        <v>61</v>
      </c>
      <c r="I144" s="28" t="s">
        <v>53</v>
      </c>
      <c r="J144" s="28"/>
      <c r="K144" s="29" t="s">
        <v>54</v>
      </c>
      <c r="L144" s="31" t="s">
        <v>332</v>
      </c>
      <c r="M144" s="25" t="s">
        <v>333</v>
      </c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ht="18.0" customHeight="1">
      <c r="A145" s="27">
        <v>103.0</v>
      </c>
      <c r="B145" s="28" t="s">
        <v>329</v>
      </c>
      <c r="C145" s="28">
        <v>210301.0</v>
      </c>
      <c r="D145" s="28" t="s">
        <v>350</v>
      </c>
      <c r="E145" s="28" t="s">
        <v>351</v>
      </c>
      <c r="F145" s="28">
        <v>2.0</v>
      </c>
      <c r="G145" s="28" t="s">
        <v>41</v>
      </c>
      <c r="H145" s="28" t="s">
        <v>130</v>
      </c>
      <c r="I145" s="28" t="s">
        <v>53</v>
      </c>
      <c r="J145" s="28"/>
      <c r="K145" s="29" t="s">
        <v>54</v>
      </c>
      <c r="L145" s="31" t="s">
        <v>332</v>
      </c>
      <c r="M145" s="25" t="s">
        <v>333</v>
      </c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ht="18.0" customHeight="1">
      <c r="A146" s="27">
        <v>103.0</v>
      </c>
      <c r="B146" s="28" t="s">
        <v>329</v>
      </c>
      <c r="C146" s="28">
        <v>210302.0</v>
      </c>
      <c r="D146" s="28" t="s">
        <v>352</v>
      </c>
      <c r="E146" s="28" t="s">
        <v>353</v>
      </c>
      <c r="F146" s="28">
        <v>2.0</v>
      </c>
      <c r="G146" s="28" t="s">
        <v>41</v>
      </c>
      <c r="H146" s="28" t="s">
        <v>130</v>
      </c>
      <c r="I146" s="28" t="s">
        <v>53</v>
      </c>
      <c r="J146" s="28"/>
      <c r="K146" s="29" t="s">
        <v>54</v>
      </c>
      <c r="L146" s="31" t="s">
        <v>332</v>
      </c>
      <c r="M146" s="25" t="s">
        <v>333</v>
      </c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ht="18.0" customHeight="1">
      <c r="A147" s="27">
        <v>103.0</v>
      </c>
      <c r="B147" s="28" t="s">
        <v>329</v>
      </c>
      <c r="C147" s="28">
        <v>210305.0</v>
      </c>
      <c r="D147" s="28" t="s">
        <v>354</v>
      </c>
      <c r="E147" s="28" t="s">
        <v>355</v>
      </c>
      <c r="F147" s="28">
        <v>2.0</v>
      </c>
      <c r="G147" s="28" t="s">
        <v>41</v>
      </c>
      <c r="H147" s="28" t="s">
        <v>130</v>
      </c>
      <c r="I147" s="28" t="s">
        <v>53</v>
      </c>
      <c r="J147" s="28"/>
      <c r="K147" s="29" t="s">
        <v>58</v>
      </c>
      <c r="L147" s="31" t="s">
        <v>332</v>
      </c>
      <c r="M147" s="25" t="s">
        <v>333</v>
      </c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ht="18.0" customHeight="1">
      <c r="A148" s="27">
        <v>103.0</v>
      </c>
      <c r="B148" s="28" t="s">
        <v>329</v>
      </c>
      <c r="C148" s="28">
        <v>210309.0</v>
      </c>
      <c r="D148" s="28" t="s">
        <v>356</v>
      </c>
      <c r="E148" s="28" t="s">
        <v>357</v>
      </c>
      <c r="F148" s="28">
        <v>2.0</v>
      </c>
      <c r="G148" s="28" t="s">
        <v>41</v>
      </c>
      <c r="H148" s="28" t="s">
        <v>130</v>
      </c>
      <c r="I148" s="28" t="s">
        <v>53</v>
      </c>
      <c r="J148" s="28"/>
      <c r="K148" s="29" t="s">
        <v>54</v>
      </c>
      <c r="L148" s="31" t="s">
        <v>332</v>
      </c>
      <c r="M148" s="25" t="s">
        <v>333</v>
      </c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ht="18.0" customHeight="1">
      <c r="A149" s="27">
        <v>103.0</v>
      </c>
      <c r="B149" s="28" t="s">
        <v>329</v>
      </c>
      <c r="C149" s="28">
        <v>210311.0</v>
      </c>
      <c r="D149" s="28" t="s">
        <v>358</v>
      </c>
      <c r="E149" s="28" t="s">
        <v>359</v>
      </c>
      <c r="F149" s="28">
        <v>2.0</v>
      </c>
      <c r="G149" s="28" t="s">
        <v>41</v>
      </c>
      <c r="H149" s="28" t="s">
        <v>130</v>
      </c>
      <c r="I149" s="28" t="s">
        <v>53</v>
      </c>
      <c r="J149" s="28"/>
      <c r="K149" s="29" t="s">
        <v>54</v>
      </c>
      <c r="L149" s="31" t="s">
        <v>332</v>
      </c>
      <c r="M149" s="25" t="s">
        <v>333</v>
      </c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ht="18.0" customHeight="1">
      <c r="A150" s="27">
        <v>103.0</v>
      </c>
      <c r="B150" s="28" t="s">
        <v>329</v>
      </c>
      <c r="C150" s="28">
        <v>210313.0</v>
      </c>
      <c r="D150" s="28" t="s">
        <v>360</v>
      </c>
      <c r="E150" s="28" t="s">
        <v>361</v>
      </c>
      <c r="F150" s="28">
        <v>2.0</v>
      </c>
      <c r="G150" s="28" t="s">
        <v>41</v>
      </c>
      <c r="H150" s="28" t="s">
        <v>130</v>
      </c>
      <c r="I150" s="28" t="s">
        <v>53</v>
      </c>
      <c r="J150" s="28"/>
      <c r="K150" s="29" t="s">
        <v>54</v>
      </c>
      <c r="L150" s="31" t="s">
        <v>332</v>
      </c>
      <c r="M150" s="25" t="s">
        <v>333</v>
      </c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ht="18.0" customHeight="1">
      <c r="A151" s="27">
        <v>103.0</v>
      </c>
      <c r="B151" s="28" t="s">
        <v>329</v>
      </c>
      <c r="C151" s="28">
        <v>210314.0</v>
      </c>
      <c r="D151" s="28" t="s">
        <v>362</v>
      </c>
      <c r="E151" s="28" t="s">
        <v>363</v>
      </c>
      <c r="F151" s="28">
        <v>2.0</v>
      </c>
      <c r="G151" s="28" t="s">
        <v>41</v>
      </c>
      <c r="H151" s="28" t="s">
        <v>130</v>
      </c>
      <c r="I151" s="28" t="s">
        <v>53</v>
      </c>
      <c r="J151" s="28"/>
      <c r="K151" s="29" t="s">
        <v>54</v>
      </c>
      <c r="L151" s="31" t="s">
        <v>332</v>
      </c>
      <c r="M151" s="25" t="s">
        <v>333</v>
      </c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ht="18.0" customHeight="1">
      <c r="A152" s="27">
        <v>103.0</v>
      </c>
      <c r="B152" s="28" t="s">
        <v>329</v>
      </c>
      <c r="C152" s="28">
        <v>210316.0</v>
      </c>
      <c r="D152" s="28" t="s">
        <v>364</v>
      </c>
      <c r="E152" s="28" t="s">
        <v>365</v>
      </c>
      <c r="F152" s="28">
        <v>2.0</v>
      </c>
      <c r="G152" s="28" t="s">
        <v>44</v>
      </c>
      <c r="H152" s="28" t="s">
        <v>119</v>
      </c>
      <c r="I152" s="28" t="s">
        <v>53</v>
      </c>
      <c r="J152" s="28"/>
      <c r="K152" s="29" t="s">
        <v>54</v>
      </c>
      <c r="L152" s="31" t="s">
        <v>332</v>
      </c>
      <c r="M152" s="25" t="s">
        <v>333</v>
      </c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ht="18.0" customHeight="1">
      <c r="A153" s="27">
        <v>103.0</v>
      </c>
      <c r="B153" s="28" t="s">
        <v>329</v>
      </c>
      <c r="C153" s="28">
        <v>110302.0</v>
      </c>
      <c r="D153" s="28" t="s">
        <v>366</v>
      </c>
      <c r="E153" s="28" t="s">
        <v>367</v>
      </c>
      <c r="F153" s="28">
        <v>3.0</v>
      </c>
      <c r="G153" s="28" t="s">
        <v>41</v>
      </c>
      <c r="H153" s="28" t="s">
        <v>130</v>
      </c>
      <c r="I153" s="28" t="s">
        <v>53</v>
      </c>
      <c r="J153" s="28"/>
      <c r="K153" s="29" t="s">
        <v>54</v>
      </c>
      <c r="L153" s="31" t="s">
        <v>332</v>
      </c>
      <c r="M153" s="25" t="s">
        <v>333</v>
      </c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ht="18.0" customHeight="1">
      <c r="A154" s="27">
        <v>103.0</v>
      </c>
      <c r="B154" s="28" t="s">
        <v>329</v>
      </c>
      <c r="C154" s="28">
        <v>110309.0</v>
      </c>
      <c r="D154" s="28" t="s">
        <v>368</v>
      </c>
      <c r="E154" s="28" t="s">
        <v>369</v>
      </c>
      <c r="F154" s="28">
        <v>3.0</v>
      </c>
      <c r="G154" s="28" t="s">
        <v>41</v>
      </c>
      <c r="H154" s="28" t="s">
        <v>130</v>
      </c>
      <c r="I154" s="28" t="s">
        <v>53</v>
      </c>
      <c r="J154" s="28"/>
      <c r="K154" s="29" t="s">
        <v>54</v>
      </c>
      <c r="L154" s="31" t="s">
        <v>332</v>
      </c>
      <c r="M154" s="25" t="s">
        <v>333</v>
      </c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ht="18.0" customHeight="1">
      <c r="A155" s="27">
        <v>103.0</v>
      </c>
      <c r="B155" s="28" t="s">
        <v>329</v>
      </c>
      <c r="C155" s="28">
        <v>110310.0</v>
      </c>
      <c r="D155" s="28" t="s">
        <v>370</v>
      </c>
      <c r="E155" s="28" t="s">
        <v>371</v>
      </c>
      <c r="F155" s="28">
        <v>3.0</v>
      </c>
      <c r="G155" s="28" t="s">
        <v>44</v>
      </c>
      <c r="H155" s="28" t="s">
        <v>119</v>
      </c>
      <c r="I155" s="28" t="s">
        <v>53</v>
      </c>
      <c r="J155" s="28"/>
      <c r="K155" s="29" t="s">
        <v>54</v>
      </c>
      <c r="L155" s="31" t="s">
        <v>332</v>
      </c>
      <c r="M155" s="25" t="s">
        <v>333</v>
      </c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ht="18.0" customHeight="1">
      <c r="A156" s="27">
        <v>103.0</v>
      </c>
      <c r="B156" s="28" t="s">
        <v>329</v>
      </c>
      <c r="C156" s="28">
        <v>110311.0</v>
      </c>
      <c r="D156" s="28" t="s">
        <v>372</v>
      </c>
      <c r="E156" s="28" t="s">
        <v>373</v>
      </c>
      <c r="F156" s="28">
        <v>3.0</v>
      </c>
      <c r="G156" s="28" t="s">
        <v>41</v>
      </c>
      <c r="H156" s="28" t="s">
        <v>130</v>
      </c>
      <c r="I156" s="28" t="s">
        <v>53</v>
      </c>
      <c r="J156" s="28"/>
      <c r="K156" s="29" t="s">
        <v>54</v>
      </c>
      <c r="L156" s="31" t="s">
        <v>332</v>
      </c>
      <c r="M156" s="25" t="s">
        <v>333</v>
      </c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ht="18.0" customHeight="1">
      <c r="A157" s="27">
        <v>103.0</v>
      </c>
      <c r="B157" s="28" t="s">
        <v>329</v>
      </c>
      <c r="C157" s="28">
        <v>10302.0</v>
      </c>
      <c r="D157" s="28" t="s">
        <v>374</v>
      </c>
      <c r="E157" s="28" t="s">
        <v>375</v>
      </c>
      <c r="F157" s="28">
        <v>4.0</v>
      </c>
      <c r="G157" s="28" t="s">
        <v>41</v>
      </c>
      <c r="H157" s="28" t="s">
        <v>130</v>
      </c>
      <c r="I157" s="28" t="s">
        <v>53</v>
      </c>
      <c r="J157" s="28"/>
      <c r="K157" s="29" t="s">
        <v>54</v>
      </c>
      <c r="L157" s="31" t="s">
        <v>332</v>
      </c>
      <c r="M157" s="25" t="s">
        <v>333</v>
      </c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ht="18.0" customHeight="1">
      <c r="A158" s="27">
        <v>142.0</v>
      </c>
      <c r="B158" s="28" t="s">
        <v>376</v>
      </c>
      <c r="C158" s="28">
        <v>314201.0</v>
      </c>
      <c r="D158" s="28" t="s">
        <v>377</v>
      </c>
      <c r="E158" s="28" t="s">
        <v>378</v>
      </c>
      <c r="F158" s="28">
        <v>1.0</v>
      </c>
      <c r="G158" s="28" t="s">
        <v>44</v>
      </c>
      <c r="H158" s="28" t="s">
        <v>61</v>
      </c>
      <c r="I158" s="28" t="s">
        <v>53</v>
      </c>
      <c r="J158" s="28">
        <v>519994.0</v>
      </c>
      <c r="K158" s="29" t="s">
        <v>58</v>
      </c>
      <c r="L158" s="26"/>
      <c r="M158" s="25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ht="18.0" customHeight="1">
      <c r="A159" s="27">
        <v>142.0</v>
      </c>
      <c r="B159" s="28" t="s">
        <v>376</v>
      </c>
      <c r="C159" s="28">
        <v>214201.0</v>
      </c>
      <c r="D159" s="28" t="s">
        <v>379</v>
      </c>
      <c r="E159" s="28" t="s">
        <v>380</v>
      </c>
      <c r="F159" s="28">
        <v>2.0</v>
      </c>
      <c r="G159" s="28" t="s">
        <v>44</v>
      </c>
      <c r="H159" s="28" t="s">
        <v>114</v>
      </c>
      <c r="I159" s="28" t="s">
        <v>53</v>
      </c>
      <c r="J159" s="28">
        <v>256451.0</v>
      </c>
      <c r="K159" s="29" t="s">
        <v>58</v>
      </c>
      <c r="L159" s="26"/>
      <c r="M159" s="25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ht="18.0" customHeight="1">
      <c r="A160" s="27">
        <v>142.0</v>
      </c>
      <c r="B160" s="28" t="s">
        <v>376</v>
      </c>
      <c r="C160" s="28">
        <v>214202.0</v>
      </c>
      <c r="D160" s="28" t="s">
        <v>381</v>
      </c>
      <c r="E160" s="28" t="s">
        <v>382</v>
      </c>
      <c r="F160" s="28">
        <v>2.0</v>
      </c>
      <c r="G160" s="28" t="s">
        <v>44</v>
      </c>
      <c r="H160" s="28" t="s">
        <v>57</v>
      </c>
      <c r="I160" s="28" t="s">
        <v>57</v>
      </c>
      <c r="J160" s="28"/>
      <c r="K160" s="29" t="s">
        <v>58</v>
      </c>
      <c r="L160" s="26"/>
      <c r="M160" s="25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ht="18.0" customHeight="1">
      <c r="A161" s="27">
        <v>142.0</v>
      </c>
      <c r="B161" s="28" t="s">
        <v>376</v>
      </c>
      <c r="C161" s="28">
        <v>214204.0</v>
      </c>
      <c r="D161" s="28" t="s">
        <v>383</v>
      </c>
      <c r="E161" s="28" t="s">
        <v>384</v>
      </c>
      <c r="F161" s="28">
        <v>2.0</v>
      </c>
      <c r="G161" s="28" t="s">
        <v>44</v>
      </c>
      <c r="H161" s="28" t="s">
        <v>57</v>
      </c>
      <c r="I161" s="28" t="s">
        <v>57</v>
      </c>
      <c r="J161" s="28"/>
      <c r="K161" s="29" t="s">
        <v>58</v>
      </c>
      <c r="L161" s="26"/>
      <c r="M161" s="25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ht="18.0" customHeight="1">
      <c r="A162" s="27">
        <v>142.0</v>
      </c>
      <c r="B162" s="28" t="s">
        <v>376</v>
      </c>
      <c r="C162" s="28">
        <v>214205.0</v>
      </c>
      <c r="D162" s="28" t="s">
        <v>385</v>
      </c>
      <c r="E162" s="28" t="s">
        <v>386</v>
      </c>
      <c r="F162" s="28">
        <v>2.0</v>
      </c>
      <c r="G162" s="28" t="s">
        <v>44</v>
      </c>
      <c r="H162" s="28" t="s">
        <v>57</v>
      </c>
      <c r="I162" s="28" t="s">
        <v>57</v>
      </c>
      <c r="J162" s="28"/>
      <c r="K162" s="29" t="s">
        <v>58</v>
      </c>
      <c r="L162" s="26"/>
      <c r="M162" s="25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ht="18.0" customHeight="1">
      <c r="A163" s="27">
        <v>142.0</v>
      </c>
      <c r="B163" s="28" t="s">
        <v>376</v>
      </c>
      <c r="C163" s="28">
        <v>214207.0</v>
      </c>
      <c r="D163" s="28" t="s">
        <v>387</v>
      </c>
      <c r="E163" s="28" t="s">
        <v>388</v>
      </c>
      <c r="F163" s="28">
        <v>2.0</v>
      </c>
      <c r="G163" s="28" t="s">
        <v>44</v>
      </c>
      <c r="H163" s="28" t="s">
        <v>57</v>
      </c>
      <c r="I163" s="28" t="s">
        <v>57</v>
      </c>
      <c r="J163" s="28"/>
      <c r="K163" s="29" t="s">
        <v>58</v>
      </c>
      <c r="L163" s="26"/>
      <c r="M163" s="25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ht="18.0" customHeight="1">
      <c r="A164" s="27">
        <v>142.0</v>
      </c>
      <c r="B164" s="28" t="s">
        <v>376</v>
      </c>
      <c r="C164" s="28">
        <v>214208.0</v>
      </c>
      <c r="D164" s="28" t="s">
        <v>389</v>
      </c>
      <c r="E164" s="28" t="s">
        <v>390</v>
      </c>
      <c r="F164" s="28">
        <v>2.0</v>
      </c>
      <c r="G164" s="28" t="s">
        <v>44</v>
      </c>
      <c r="H164" s="28" t="s">
        <v>119</v>
      </c>
      <c r="I164" s="28" t="s">
        <v>53</v>
      </c>
      <c r="J164" s="28">
        <v>256449.0</v>
      </c>
      <c r="K164" s="29" t="s">
        <v>58</v>
      </c>
      <c r="L164" s="26"/>
      <c r="M164" s="25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ht="18.0" customHeight="1">
      <c r="A165" s="27">
        <v>142.0</v>
      </c>
      <c r="B165" s="28" t="s">
        <v>376</v>
      </c>
      <c r="C165" s="28">
        <v>114203.0</v>
      </c>
      <c r="D165" s="28" t="s">
        <v>391</v>
      </c>
      <c r="E165" s="28" t="s">
        <v>392</v>
      </c>
      <c r="F165" s="28">
        <v>3.0</v>
      </c>
      <c r="G165" s="28" t="s">
        <v>44</v>
      </c>
      <c r="H165" s="28" t="s">
        <v>57</v>
      </c>
      <c r="I165" s="28" t="s">
        <v>57</v>
      </c>
      <c r="J165" s="28"/>
      <c r="K165" s="29" t="s">
        <v>58</v>
      </c>
      <c r="L165" s="26"/>
      <c r="M165" s="25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ht="18.0" customHeight="1">
      <c r="A166" s="27">
        <v>142.0</v>
      </c>
      <c r="B166" s="28" t="s">
        <v>376</v>
      </c>
      <c r="C166" s="28">
        <v>114204.0</v>
      </c>
      <c r="D166" s="28" t="s">
        <v>393</v>
      </c>
      <c r="E166" s="28" t="s">
        <v>394</v>
      </c>
      <c r="F166" s="28">
        <v>3.0</v>
      </c>
      <c r="G166" s="28" t="s">
        <v>44</v>
      </c>
      <c r="H166" s="28" t="s">
        <v>57</v>
      </c>
      <c r="I166" s="28" t="s">
        <v>57</v>
      </c>
      <c r="J166" s="28"/>
      <c r="K166" s="29" t="s">
        <v>58</v>
      </c>
      <c r="L166" s="26"/>
      <c r="M166" s="25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ht="18.0" customHeight="1">
      <c r="A167" s="27">
        <v>142.0</v>
      </c>
      <c r="B167" s="28" t="s">
        <v>376</v>
      </c>
      <c r="C167" s="28">
        <v>114205.0</v>
      </c>
      <c r="D167" s="28" t="s">
        <v>395</v>
      </c>
      <c r="E167" s="28" t="s">
        <v>396</v>
      </c>
      <c r="F167" s="28">
        <v>3.0</v>
      </c>
      <c r="G167" s="28" t="s">
        <v>44</v>
      </c>
      <c r="H167" s="28" t="s">
        <v>57</v>
      </c>
      <c r="I167" s="28" t="s">
        <v>57</v>
      </c>
      <c r="J167" s="28"/>
      <c r="K167" s="29" t="s">
        <v>58</v>
      </c>
      <c r="L167" s="26"/>
      <c r="M167" s="25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ht="18.0" customHeight="1">
      <c r="A168" s="27">
        <v>142.0</v>
      </c>
      <c r="B168" s="28" t="s">
        <v>376</v>
      </c>
      <c r="C168" s="28">
        <v>114206.0</v>
      </c>
      <c r="D168" s="28" t="s">
        <v>397</v>
      </c>
      <c r="E168" s="28" t="s">
        <v>398</v>
      </c>
      <c r="F168" s="28">
        <v>3.0</v>
      </c>
      <c r="G168" s="28" t="s">
        <v>44</v>
      </c>
      <c r="H168" s="28" t="s">
        <v>57</v>
      </c>
      <c r="I168" s="28" t="s">
        <v>57</v>
      </c>
      <c r="J168" s="28"/>
      <c r="K168" s="29" t="s">
        <v>58</v>
      </c>
      <c r="L168" s="26"/>
      <c r="M168" s="25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ht="18.0" customHeight="1">
      <c r="A169" s="27">
        <v>142.0</v>
      </c>
      <c r="B169" s="28" t="s">
        <v>376</v>
      </c>
      <c r="C169" s="28">
        <v>114208.0</v>
      </c>
      <c r="D169" s="28" t="s">
        <v>399</v>
      </c>
      <c r="E169" s="28" t="s">
        <v>400</v>
      </c>
      <c r="F169" s="28">
        <v>3.0</v>
      </c>
      <c r="G169" s="28" t="s">
        <v>44</v>
      </c>
      <c r="H169" s="28" t="s">
        <v>57</v>
      </c>
      <c r="I169" s="28" t="s">
        <v>57</v>
      </c>
      <c r="J169" s="28"/>
      <c r="K169" s="29" t="s">
        <v>58</v>
      </c>
      <c r="L169" s="26"/>
      <c r="M169" s="25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ht="18.0" customHeight="1">
      <c r="A170" s="27">
        <v>144.0</v>
      </c>
      <c r="B170" s="28" t="s">
        <v>401</v>
      </c>
      <c r="C170" s="28">
        <v>314401.0</v>
      </c>
      <c r="D170" s="28" t="s">
        <v>402</v>
      </c>
      <c r="E170" s="28" t="s">
        <v>403</v>
      </c>
      <c r="F170" s="28">
        <v>1.0</v>
      </c>
      <c r="G170" s="28" t="s">
        <v>44</v>
      </c>
      <c r="H170" s="28" t="s">
        <v>57</v>
      </c>
      <c r="I170" s="28" t="s">
        <v>57</v>
      </c>
      <c r="J170" s="28"/>
      <c r="K170" s="29" t="s">
        <v>58</v>
      </c>
      <c r="L170" s="26"/>
      <c r="M170" s="25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ht="18.0" customHeight="1">
      <c r="A171" s="27">
        <v>144.0</v>
      </c>
      <c r="B171" s="28" t="s">
        <v>401</v>
      </c>
      <c r="C171" s="28">
        <v>314402.0</v>
      </c>
      <c r="D171" s="28" t="s">
        <v>404</v>
      </c>
      <c r="E171" s="28" t="s">
        <v>405</v>
      </c>
      <c r="F171" s="28">
        <v>1.0</v>
      </c>
      <c r="G171" s="28" t="s">
        <v>44</v>
      </c>
      <c r="H171" s="28" t="s">
        <v>57</v>
      </c>
      <c r="I171" s="28" t="s">
        <v>57</v>
      </c>
      <c r="J171" s="28"/>
      <c r="K171" s="29" t="s">
        <v>58</v>
      </c>
      <c r="L171" s="26"/>
      <c r="M171" s="25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ht="18.0" customHeight="1">
      <c r="A172" s="27">
        <v>144.0</v>
      </c>
      <c r="B172" s="28" t="s">
        <v>401</v>
      </c>
      <c r="C172" s="28">
        <v>314403.0</v>
      </c>
      <c r="D172" s="28" t="s">
        <v>406</v>
      </c>
      <c r="E172" s="28" t="s">
        <v>407</v>
      </c>
      <c r="F172" s="28">
        <v>1.0</v>
      </c>
      <c r="G172" s="28" t="s">
        <v>44</v>
      </c>
      <c r="H172" s="28" t="s">
        <v>57</v>
      </c>
      <c r="I172" s="28" t="s">
        <v>57</v>
      </c>
      <c r="J172" s="28"/>
      <c r="K172" s="29" t="s">
        <v>58</v>
      </c>
      <c r="L172" s="26"/>
      <c r="M172" s="25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ht="18.0" customHeight="1">
      <c r="A173" s="27">
        <v>144.0</v>
      </c>
      <c r="B173" s="28" t="s">
        <v>401</v>
      </c>
      <c r="C173" s="28">
        <v>214401.0</v>
      </c>
      <c r="D173" s="28" t="s">
        <v>408</v>
      </c>
      <c r="E173" s="28" t="s">
        <v>409</v>
      </c>
      <c r="F173" s="28">
        <v>2.0</v>
      </c>
      <c r="G173" s="28" t="s">
        <v>41</v>
      </c>
      <c r="H173" s="28" t="s">
        <v>130</v>
      </c>
      <c r="I173" s="28" t="s">
        <v>53</v>
      </c>
      <c r="J173" s="28"/>
      <c r="K173" s="29" t="s">
        <v>58</v>
      </c>
      <c r="L173" s="26"/>
      <c r="M173" s="25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ht="18.0" customHeight="1">
      <c r="A174" s="27">
        <v>144.0</v>
      </c>
      <c r="B174" s="28" t="s">
        <v>401</v>
      </c>
      <c r="C174" s="28">
        <v>114403.0</v>
      </c>
      <c r="D174" s="28" t="s">
        <v>410</v>
      </c>
      <c r="E174" s="28" t="s">
        <v>411</v>
      </c>
      <c r="F174" s="28">
        <v>3.0</v>
      </c>
      <c r="G174" s="28" t="s">
        <v>44</v>
      </c>
      <c r="H174" s="28" t="s">
        <v>57</v>
      </c>
      <c r="I174" s="28" t="s">
        <v>57</v>
      </c>
      <c r="J174" s="28"/>
      <c r="K174" s="29" t="s">
        <v>58</v>
      </c>
      <c r="L174" s="26"/>
      <c r="M174" s="25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ht="18.0" customHeight="1">
      <c r="A175" s="27">
        <v>151.0</v>
      </c>
      <c r="B175" s="28" t="s">
        <v>412</v>
      </c>
      <c r="C175" s="28">
        <v>215101.0</v>
      </c>
      <c r="D175" s="28" t="s">
        <v>413</v>
      </c>
      <c r="E175" s="28" t="s">
        <v>414</v>
      </c>
      <c r="F175" s="28">
        <v>2.0</v>
      </c>
      <c r="G175" s="28" t="s">
        <v>41</v>
      </c>
      <c r="H175" s="28" t="s">
        <v>130</v>
      </c>
      <c r="I175" s="28" t="s">
        <v>53</v>
      </c>
      <c r="J175" s="28"/>
      <c r="K175" s="29" t="s">
        <v>54</v>
      </c>
      <c r="L175" s="26"/>
      <c r="M175" s="25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ht="18.0" customHeight="1">
      <c r="A176" s="27">
        <v>152.0</v>
      </c>
      <c r="B176" s="28" t="s">
        <v>415</v>
      </c>
      <c r="C176" s="28">
        <v>315201.0</v>
      </c>
      <c r="D176" s="28" t="s">
        <v>416</v>
      </c>
      <c r="E176" s="28" t="s">
        <v>417</v>
      </c>
      <c r="F176" s="28">
        <v>1.0</v>
      </c>
      <c r="G176" s="28" t="s">
        <v>44</v>
      </c>
      <c r="H176" s="28" t="s">
        <v>61</v>
      </c>
      <c r="I176" s="28" t="s">
        <v>53</v>
      </c>
      <c r="J176" s="28"/>
      <c r="K176" s="29" t="s">
        <v>54</v>
      </c>
      <c r="L176" s="30" t="s">
        <v>332</v>
      </c>
      <c r="M176" s="25" t="s">
        <v>333</v>
      </c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ht="18.0" customHeight="1">
      <c r="A177" s="27">
        <v>201.0</v>
      </c>
      <c r="B177" s="28" t="s">
        <v>418</v>
      </c>
      <c r="C177" s="28">
        <v>320104.0</v>
      </c>
      <c r="D177" s="28" t="s">
        <v>419</v>
      </c>
      <c r="E177" s="28" t="s">
        <v>420</v>
      </c>
      <c r="F177" s="28">
        <v>1.0</v>
      </c>
      <c r="G177" s="28" t="s">
        <v>44</v>
      </c>
      <c r="H177" s="28" t="s">
        <v>61</v>
      </c>
      <c r="I177" s="28" t="s">
        <v>57</v>
      </c>
      <c r="J177" s="28">
        <v>270410.0</v>
      </c>
      <c r="K177" s="29" t="s">
        <v>58</v>
      </c>
      <c r="L177" s="26"/>
      <c r="M177" s="25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ht="18.0" customHeight="1">
      <c r="A178" s="27">
        <v>201.0</v>
      </c>
      <c r="B178" s="28" t="s">
        <v>418</v>
      </c>
      <c r="C178" s="28">
        <v>220101.0</v>
      </c>
      <c r="D178" s="28" t="s">
        <v>421</v>
      </c>
      <c r="E178" s="28" t="s">
        <v>422</v>
      </c>
      <c r="F178" s="28">
        <v>2.0</v>
      </c>
      <c r="G178" s="28" t="s">
        <v>41</v>
      </c>
      <c r="H178" s="28" t="s">
        <v>130</v>
      </c>
      <c r="I178" s="28" t="s">
        <v>53</v>
      </c>
      <c r="J178" s="28">
        <v>270411.0</v>
      </c>
      <c r="K178" s="29" t="s">
        <v>58</v>
      </c>
      <c r="L178" s="26"/>
      <c r="M178" s="25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ht="18.0" customHeight="1">
      <c r="A179" s="27">
        <v>201.0</v>
      </c>
      <c r="B179" s="28" t="s">
        <v>418</v>
      </c>
      <c r="C179" s="28">
        <v>120105.0</v>
      </c>
      <c r="D179" s="28" t="s">
        <v>423</v>
      </c>
      <c r="E179" s="28" t="s">
        <v>424</v>
      </c>
      <c r="F179" s="28">
        <v>3.0</v>
      </c>
      <c r="G179" s="28" t="s">
        <v>41</v>
      </c>
      <c r="H179" s="28" t="s">
        <v>130</v>
      </c>
      <c r="I179" s="28" t="s">
        <v>53</v>
      </c>
      <c r="J179" s="28">
        <v>270412.0</v>
      </c>
      <c r="K179" s="29" t="s">
        <v>58</v>
      </c>
      <c r="L179" s="26"/>
      <c r="M179" s="25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ht="18.0" customHeight="1">
      <c r="A180" s="27">
        <v>201.0</v>
      </c>
      <c r="B180" s="28" t="s">
        <v>418</v>
      </c>
      <c r="C180" s="28">
        <v>120114.0</v>
      </c>
      <c r="D180" s="28" t="s">
        <v>425</v>
      </c>
      <c r="E180" s="28" t="s">
        <v>426</v>
      </c>
      <c r="F180" s="28">
        <v>3.0</v>
      </c>
      <c r="G180" s="28" t="s">
        <v>41</v>
      </c>
      <c r="H180" s="28" t="s">
        <v>130</v>
      </c>
      <c r="I180" s="28" t="s">
        <v>53</v>
      </c>
      <c r="J180" s="28">
        <v>270413.0</v>
      </c>
      <c r="K180" s="29" t="s">
        <v>58</v>
      </c>
      <c r="L180" s="26"/>
      <c r="M180" s="25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ht="18.0" customHeight="1">
      <c r="A181" s="27">
        <v>203.0</v>
      </c>
      <c r="B181" s="28" t="s">
        <v>427</v>
      </c>
      <c r="C181" s="28">
        <v>320306.0</v>
      </c>
      <c r="D181" s="28" t="s">
        <v>428</v>
      </c>
      <c r="E181" s="28" t="s">
        <v>429</v>
      </c>
      <c r="F181" s="28">
        <v>1.0</v>
      </c>
      <c r="G181" s="28" t="s">
        <v>41</v>
      </c>
      <c r="H181" s="28" t="s">
        <v>57</v>
      </c>
      <c r="I181" s="28" t="s">
        <v>53</v>
      </c>
      <c r="J181" s="28">
        <v>528155.0</v>
      </c>
      <c r="K181" s="29" t="s">
        <v>58</v>
      </c>
      <c r="L181" s="32" t="s">
        <v>430</v>
      </c>
      <c r="M181" s="25" t="s">
        <v>333</v>
      </c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ht="18.0" customHeight="1">
      <c r="A182" s="27">
        <v>203.0</v>
      </c>
      <c r="B182" s="28" t="s">
        <v>427</v>
      </c>
      <c r="C182" s="28">
        <v>320309.0</v>
      </c>
      <c r="D182" s="28" t="s">
        <v>431</v>
      </c>
      <c r="E182" s="28" t="s">
        <v>432</v>
      </c>
      <c r="F182" s="28">
        <v>1.0</v>
      </c>
      <c r="G182" s="28" t="s">
        <v>41</v>
      </c>
      <c r="H182" s="28" t="s">
        <v>52</v>
      </c>
      <c r="I182" s="28" t="s">
        <v>53</v>
      </c>
      <c r="J182" s="28">
        <v>528156.0</v>
      </c>
      <c r="K182" s="29" t="s">
        <v>58</v>
      </c>
      <c r="L182" s="32" t="s">
        <v>430</v>
      </c>
      <c r="M182" s="25" t="s">
        <v>333</v>
      </c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ht="18.0" customHeight="1">
      <c r="A183" s="27">
        <v>203.0</v>
      </c>
      <c r="B183" s="28" t="s">
        <v>427</v>
      </c>
      <c r="C183" s="28">
        <v>320311.0</v>
      </c>
      <c r="D183" s="28" t="s">
        <v>433</v>
      </c>
      <c r="E183" s="28" t="s">
        <v>434</v>
      </c>
      <c r="F183" s="28">
        <v>1.0</v>
      </c>
      <c r="G183" s="28" t="s">
        <v>41</v>
      </c>
      <c r="H183" s="28" t="s">
        <v>52</v>
      </c>
      <c r="I183" s="28" t="s">
        <v>53</v>
      </c>
      <c r="J183" s="28">
        <v>528157.0</v>
      </c>
      <c r="K183" s="29" t="s">
        <v>58</v>
      </c>
      <c r="L183" s="32" t="s">
        <v>430</v>
      </c>
      <c r="M183" s="25" t="s">
        <v>333</v>
      </c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ht="18.0" customHeight="1">
      <c r="A184" s="27">
        <v>203.0</v>
      </c>
      <c r="B184" s="28" t="s">
        <v>427</v>
      </c>
      <c r="C184" s="28">
        <v>320313.0</v>
      </c>
      <c r="D184" s="28" t="s">
        <v>435</v>
      </c>
      <c r="E184" s="28" t="s">
        <v>436</v>
      </c>
      <c r="F184" s="28">
        <v>1.0</v>
      </c>
      <c r="G184" s="28" t="s">
        <v>41</v>
      </c>
      <c r="H184" s="28" t="s">
        <v>57</v>
      </c>
      <c r="I184" s="28" t="s">
        <v>53</v>
      </c>
      <c r="J184" s="28">
        <v>528158.0</v>
      </c>
      <c r="K184" s="29" t="s">
        <v>58</v>
      </c>
      <c r="L184" s="32" t="s">
        <v>430</v>
      </c>
      <c r="M184" s="25" t="s">
        <v>333</v>
      </c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ht="18.0" customHeight="1">
      <c r="A185" s="27">
        <v>203.0</v>
      </c>
      <c r="B185" s="28" t="s">
        <v>427</v>
      </c>
      <c r="C185" s="28">
        <v>220304.0</v>
      </c>
      <c r="D185" s="28" t="s">
        <v>437</v>
      </c>
      <c r="E185" s="28" t="s">
        <v>438</v>
      </c>
      <c r="F185" s="28">
        <v>2.0</v>
      </c>
      <c r="G185" s="28" t="s">
        <v>41</v>
      </c>
      <c r="H185" s="28" t="s">
        <v>130</v>
      </c>
      <c r="I185" s="28" t="s">
        <v>53</v>
      </c>
      <c r="J185" s="28">
        <v>528159.0</v>
      </c>
      <c r="K185" s="29" t="s">
        <v>58</v>
      </c>
      <c r="L185" s="32" t="s">
        <v>430</v>
      </c>
      <c r="M185" s="25" t="s">
        <v>333</v>
      </c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ht="18.0" customHeight="1">
      <c r="A186" s="27">
        <v>203.0</v>
      </c>
      <c r="B186" s="28" t="s">
        <v>427</v>
      </c>
      <c r="C186" s="28">
        <v>220305.0</v>
      </c>
      <c r="D186" s="28" t="s">
        <v>439</v>
      </c>
      <c r="E186" s="28" t="s">
        <v>440</v>
      </c>
      <c r="F186" s="28">
        <v>2.0</v>
      </c>
      <c r="G186" s="28" t="s">
        <v>41</v>
      </c>
      <c r="H186" s="28" t="s">
        <v>130</v>
      </c>
      <c r="I186" s="28" t="s">
        <v>53</v>
      </c>
      <c r="J186" s="28">
        <v>528160.0</v>
      </c>
      <c r="K186" s="29" t="s">
        <v>58</v>
      </c>
      <c r="L186" s="32" t="s">
        <v>430</v>
      </c>
      <c r="M186" s="25" t="s">
        <v>333</v>
      </c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ht="18.0" customHeight="1">
      <c r="A187" s="27">
        <v>203.0</v>
      </c>
      <c r="B187" s="28" t="s">
        <v>427</v>
      </c>
      <c r="C187" s="28">
        <v>220307.0</v>
      </c>
      <c r="D187" s="28" t="s">
        <v>441</v>
      </c>
      <c r="E187" s="28" t="s">
        <v>442</v>
      </c>
      <c r="F187" s="28">
        <v>2.0</v>
      </c>
      <c r="G187" s="28" t="s">
        <v>41</v>
      </c>
      <c r="H187" s="28" t="s">
        <v>130</v>
      </c>
      <c r="I187" s="28" t="s">
        <v>53</v>
      </c>
      <c r="J187" s="28">
        <v>528161.0</v>
      </c>
      <c r="K187" s="29" t="s">
        <v>58</v>
      </c>
      <c r="L187" s="32" t="s">
        <v>430</v>
      </c>
      <c r="M187" s="25" t="s">
        <v>333</v>
      </c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ht="18.0" customHeight="1">
      <c r="A188" s="27">
        <v>203.0</v>
      </c>
      <c r="B188" s="28" t="s">
        <v>427</v>
      </c>
      <c r="C188" s="28">
        <v>220308.0</v>
      </c>
      <c r="D188" s="28" t="s">
        <v>443</v>
      </c>
      <c r="E188" s="28" t="s">
        <v>444</v>
      </c>
      <c r="F188" s="28">
        <v>2.0</v>
      </c>
      <c r="G188" s="28" t="s">
        <v>41</v>
      </c>
      <c r="H188" s="28" t="s">
        <v>130</v>
      </c>
      <c r="I188" s="28" t="s">
        <v>53</v>
      </c>
      <c r="J188" s="28">
        <v>528162.0</v>
      </c>
      <c r="K188" s="29" t="s">
        <v>58</v>
      </c>
      <c r="L188" s="32" t="s">
        <v>430</v>
      </c>
      <c r="M188" s="25" t="s">
        <v>333</v>
      </c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ht="18.0" customHeight="1">
      <c r="A189" s="27">
        <v>203.0</v>
      </c>
      <c r="B189" s="28" t="s">
        <v>427</v>
      </c>
      <c r="C189" s="28">
        <v>220309.0</v>
      </c>
      <c r="D189" s="28" t="s">
        <v>445</v>
      </c>
      <c r="E189" s="28" t="s">
        <v>446</v>
      </c>
      <c r="F189" s="28">
        <v>2.0</v>
      </c>
      <c r="G189" s="28" t="s">
        <v>41</v>
      </c>
      <c r="H189" s="28" t="s">
        <v>130</v>
      </c>
      <c r="I189" s="28" t="s">
        <v>53</v>
      </c>
      <c r="J189" s="28">
        <v>528163.0</v>
      </c>
      <c r="K189" s="29" t="s">
        <v>58</v>
      </c>
      <c r="L189" s="32" t="s">
        <v>430</v>
      </c>
      <c r="M189" s="25" t="s">
        <v>333</v>
      </c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ht="18.0" customHeight="1">
      <c r="A190" s="27">
        <v>203.0</v>
      </c>
      <c r="B190" s="28" t="s">
        <v>427</v>
      </c>
      <c r="C190" s="28">
        <v>120308.0</v>
      </c>
      <c r="D190" s="28" t="s">
        <v>447</v>
      </c>
      <c r="E190" s="28" t="s">
        <v>448</v>
      </c>
      <c r="F190" s="28">
        <v>3.0</v>
      </c>
      <c r="G190" s="28" t="s">
        <v>41</v>
      </c>
      <c r="H190" s="28" t="s">
        <v>130</v>
      </c>
      <c r="I190" s="28" t="s">
        <v>53</v>
      </c>
      <c r="J190" s="28">
        <v>528164.0</v>
      </c>
      <c r="K190" s="29" t="s">
        <v>58</v>
      </c>
      <c r="L190" s="32" t="s">
        <v>430</v>
      </c>
      <c r="M190" s="25" t="s">
        <v>333</v>
      </c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ht="18.0" customHeight="1">
      <c r="A191" s="27">
        <v>203.0</v>
      </c>
      <c r="B191" s="28" t="s">
        <v>427</v>
      </c>
      <c r="C191" s="28">
        <v>120317.0</v>
      </c>
      <c r="D191" s="28" t="s">
        <v>449</v>
      </c>
      <c r="E191" s="28" t="s">
        <v>450</v>
      </c>
      <c r="F191" s="28">
        <v>3.0</v>
      </c>
      <c r="G191" s="28" t="s">
        <v>41</v>
      </c>
      <c r="H191" s="28" t="s">
        <v>130</v>
      </c>
      <c r="I191" s="28" t="s">
        <v>53</v>
      </c>
      <c r="J191" s="28">
        <v>528165.0</v>
      </c>
      <c r="K191" s="29" t="s">
        <v>58</v>
      </c>
      <c r="L191" s="32" t="s">
        <v>430</v>
      </c>
      <c r="M191" s="25" t="s">
        <v>333</v>
      </c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ht="18.0" customHeight="1">
      <c r="A192" s="27">
        <v>203.0</v>
      </c>
      <c r="B192" s="28" t="s">
        <v>427</v>
      </c>
      <c r="C192" s="28">
        <v>120320.0</v>
      </c>
      <c r="D192" s="28" t="s">
        <v>451</v>
      </c>
      <c r="E192" s="28" t="s">
        <v>452</v>
      </c>
      <c r="F192" s="28">
        <v>3.0</v>
      </c>
      <c r="G192" s="28" t="s">
        <v>41</v>
      </c>
      <c r="H192" s="28" t="s">
        <v>130</v>
      </c>
      <c r="I192" s="28" t="s">
        <v>53</v>
      </c>
      <c r="J192" s="28">
        <v>528166.0</v>
      </c>
      <c r="K192" s="29" t="s">
        <v>54</v>
      </c>
      <c r="L192" s="26"/>
      <c r="M192" s="25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ht="18.0" customHeight="1">
      <c r="A193" s="27">
        <v>203.0</v>
      </c>
      <c r="B193" s="28" t="s">
        <v>427</v>
      </c>
      <c r="C193" s="28">
        <v>20303.0</v>
      </c>
      <c r="D193" s="28" t="s">
        <v>453</v>
      </c>
      <c r="E193" s="28" t="s">
        <v>454</v>
      </c>
      <c r="F193" s="28">
        <v>4.0</v>
      </c>
      <c r="G193" s="28" t="s">
        <v>41</v>
      </c>
      <c r="H193" s="28" t="s">
        <v>57</v>
      </c>
      <c r="I193" s="28" t="s">
        <v>53</v>
      </c>
      <c r="J193" s="28">
        <v>528167.0</v>
      </c>
      <c r="K193" s="29" t="s">
        <v>58</v>
      </c>
      <c r="L193" s="32" t="s">
        <v>430</v>
      </c>
      <c r="M193" s="25" t="s">
        <v>333</v>
      </c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ht="18.0" customHeight="1">
      <c r="A194" s="27">
        <v>203.0</v>
      </c>
      <c r="B194" s="28" t="s">
        <v>427</v>
      </c>
      <c r="C194" s="28">
        <v>20304.0</v>
      </c>
      <c r="D194" s="28" t="s">
        <v>455</v>
      </c>
      <c r="E194" s="28" t="s">
        <v>456</v>
      </c>
      <c r="F194" s="28">
        <v>4.0</v>
      </c>
      <c r="G194" s="28" t="s">
        <v>41</v>
      </c>
      <c r="H194" s="28" t="s">
        <v>57</v>
      </c>
      <c r="I194" s="28" t="s">
        <v>53</v>
      </c>
      <c r="J194" s="28">
        <v>528168.0</v>
      </c>
      <c r="K194" s="29" t="s">
        <v>58</v>
      </c>
      <c r="L194" s="32" t="s">
        <v>430</v>
      </c>
      <c r="M194" s="25" t="s">
        <v>333</v>
      </c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ht="18.0" customHeight="1">
      <c r="A195" s="27">
        <v>203.0</v>
      </c>
      <c r="B195" s="28" t="s">
        <v>427</v>
      </c>
      <c r="C195" s="28">
        <v>20306.0</v>
      </c>
      <c r="D195" s="28" t="s">
        <v>457</v>
      </c>
      <c r="E195" s="28" t="s">
        <v>458</v>
      </c>
      <c r="F195" s="28">
        <v>4.0</v>
      </c>
      <c r="G195" s="28" t="s">
        <v>44</v>
      </c>
      <c r="H195" s="28" t="s">
        <v>119</v>
      </c>
      <c r="I195" s="28" t="s">
        <v>53</v>
      </c>
      <c r="J195" s="28">
        <v>528169.0</v>
      </c>
      <c r="K195" s="29" t="s">
        <v>54</v>
      </c>
      <c r="L195" s="26"/>
      <c r="M195" s="25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ht="18.0" customHeight="1">
      <c r="A196" s="27">
        <v>203.0</v>
      </c>
      <c r="B196" s="28" t="s">
        <v>427</v>
      </c>
      <c r="C196" s="28">
        <v>20308.0</v>
      </c>
      <c r="D196" s="28" t="s">
        <v>459</v>
      </c>
      <c r="E196" s="28" t="s">
        <v>460</v>
      </c>
      <c r="F196" s="28">
        <v>4.0</v>
      </c>
      <c r="G196" s="28" t="s">
        <v>41</v>
      </c>
      <c r="H196" s="28" t="s">
        <v>130</v>
      </c>
      <c r="I196" s="28" t="s">
        <v>53</v>
      </c>
      <c r="J196" s="28">
        <v>528170.0</v>
      </c>
      <c r="K196" s="29" t="s">
        <v>58</v>
      </c>
      <c r="L196" s="32" t="s">
        <v>430</v>
      </c>
      <c r="M196" s="25" t="s">
        <v>333</v>
      </c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ht="18.0" customHeight="1">
      <c r="A197" s="27">
        <v>203.0</v>
      </c>
      <c r="B197" s="28" t="s">
        <v>427</v>
      </c>
      <c r="C197" s="28">
        <v>20309.0</v>
      </c>
      <c r="D197" s="28" t="s">
        <v>461</v>
      </c>
      <c r="E197" s="28" t="s">
        <v>462</v>
      </c>
      <c r="F197" s="28">
        <v>4.0</v>
      </c>
      <c r="G197" s="28" t="s">
        <v>41</v>
      </c>
      <c r="H197" s="28" t="s">
        <v>130</v>
      </c>
      <c r="I197" s="28" t="s">
        <v>53</v>
      </c>
      <c r="J197" s="28">
        <v>528171.0</v>
      </c>
      <c r="K197" s="29" t="s">
        <v>54</v>
      </c>
      <c r="M197" s="25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ht="18.0" customHeight="1">
      <c r="A198" s="27">
        <v>203.0</v>
      </c>
      <c r="B198" s="28" t="s">
        <v>427</v>
      </c>
      <c r="C198" s="28">
        <v>20311.0</v>
      </c>
      <c r="D198" s="28" t="s">
        <v>463</v>
      </c>
      <c r="E198" s="28" t="s">
        <v>464</v>
      </c>
      <c r="F198" s="28">
        <v>4.0</v>
      </c>
      <c r="G198" s="28" t="s">
        <v>44</v>
      </c>
      <c r="H198" s="28" t="s">
        <v>119</v>
      </c>
      <c r="I198" s="28" t="s">
        <v>53</v>
      </c>
      <c r="J198" s="28">
        <v>528172.0</v>
      </c>
      <c r="K198" s="29" t="s">
        <v>54</v>
      </c>
      <c r="L198" s="26"/>
      <c r="M198" s="25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ht="18.0" customHeight="1">
      <c r="A199" s="27">
        <v>203.0</v>
      </c>
      <c r="B199" s="28" t="s">
        <v>427</v>
      </c>
      <c r="C199" s="28">
        <v>20316.0</v>
      </c>
      <c r="D199" s="28" t="s">
        <v>465</v>
      </c>
      <c r="E199" s="28" t="s">
        <v>466</v>
      </c>
      <c r="F199" s="28">
        <v>4.0</v>
      </c>
      <c r="G199" s="28" t="s">
        <v>44</v>
      </c>
      <c r="H199" s="28" t="s">
        <v>119</v>
      </c>
      <c r="I199" s="28" t="s">
        <v>53</v>
      </c>
      <c r="J199" s="28">
        <v>528173.0</v>
      </c>
      <c r="K199" s="29" t="s">
        <v>54</v>
      </c>
      <c r="L199" s="26"/>
      <c r="M199" s="25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ht="18.0" customHeight="1">
      <c r="A200" s="27">
        <v>302.0</v>
      </c>
      <c r="B200" s="28" t="s">
        <v>467</v>
      </c>
      <c r="C200" s="28">
        <v>330201.0</v>
      </c>
      <c r="D200" s="28" t="s">
        <v>468</v>
      </c>
      <c r="E200" s="28" t="s">
        <v>469</v>
      </c>
      <c r="F200" s="28">
        <v>1.0</v>
      </c>
      <c r="G200" s="28" t="s">
        <v>44</v>
      </c>
      <c r="H200" s="28" t="s">
        <v>61</v>
      </c>
      <c r="I200" s="28" t="s">
        <v>53</v>
      </c>
      <c r="J200" s="28"/>
      <c r="K200" s="29" t="s">
        <v>54</v>
      </c>
      <c r="L200" s="26"/>
      <c r="M200" s="25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ht="18.0" customHeight="1">
      <c r="A201" s="27">
        <v>302.0</v>
      </c>
      <c r="B201" s="28" t="s">
        <v>467</v>
      </c>
      <c r="C201" s="28">
        <v>330202.0</v>
      </c>
      <c r="D201" s="28" t="s">
        <v>470</v>
      </c>
      <c r="E201" s="28" t="s">
        <v>471</v>
      </c>
      <c r="F201" s="28">
        <v>1.0</v>
      </c>
      <c r="G201" s="28" t="s">
        <v>44</v>
      </c>
      <c r="H201" s="28" t="s">
        <v>61</v>
      </c>
      <c r="I201" s="28" t="s">
        <v>53</v>
      </c>
      <c r="J201" s="28"/>
      <c r="K201" s="29" t="s">
        <v>54</v>
      </c>
      <c r="L201" s="26"/>
      <c r="M201" s="25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ht="18.0" customHeight="1">
      <c r="A202" s="27">
        <v>302.0</v>
      </c>
      <c r="B202" s="28" t="s">
        <v>467</v>
      </c>
      <c r="C202" s="28">
        <v>330203.0</v>
      </c>
      <c r="D202" s="28" t="s">
        <v>472</v>
      </c>
      <c r="E202" s="28" t="s">
        <v>473</v>
      </c>
      <c r="F202" s="28">
        <v>1.0</v>
      </c>
      <c r="G202" s="28" t="s">
        <v>44</v>
      </c>
      <c r="H202" s="28" t="s">
        <v>61</v>
      </c>
      <c r="I202" s="28" t="s">
        <v>53</v>
      </c>
      <c r="J202" s="28"/>
      <c r="K202" s="29" t="s">
        <v>54</v>
      </c>
      <c r="L202" s="26"/>
      <c r="M202" s="25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ht="18.0" customHeight="1">
      <c r="A203" s="27">
        <v>302.0</v>
      </c>
      <c r="B203" s="28" t="s">
        <v>467</v>
      </c>
      <c r="C203" s="28">
        <v>230201.0</v>
      </c>
      <c r="D203" s="28" t="s">
        <v>474</v>
      </c>
      <c r="E203" s="28" t="s">
        <v>475</v>
      </c>
      <c r="F203" s="28">
        <v>2.0</v>
      </c>
      <c r="G203" s="28" t="s">
        <v>44</v>
      </c>
      <c r="H203" s="28" t="s">
        <v>119</v>
      </c>
      <c r="I203" s="28" t="s">
        <v>53</v>
      </c>
      <c r="J203" s="28">
        <v>265847.0</v>
      </c>
      <c r="K203" s="29" t="s">
        <v>54</v>
      </c>
      <c r="L203" s="26"/>
      <c r="M203" s="25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ht="18.0" customHeight="1">
      <c r="A204" s="27">
        <v>302.0</v>
      </c>
      <c r="B204" s="28" t="s">
        <v>467</v>
      </c>
      <c r="C204" s="28">
        <v>230202.0</v>
      </c>
      <c r="D204" s="28" t="s">
        <v>476</v>
      </c>
      <c r="E204" s="28" t="s">
        <v>477</v>
      </c>
      <c r="F204" s="28">
        <v>2.0</v>
      </c>
      <c r="G204" s="28" t="s">
        <v>44</v>
      </c>
      <c r="H204" s="28" t="s">
        <v>119</v>
      </c>
      <c r="I204" s="28" t="s">
        <v>53</v>
      </c>
      <c r="J204" s="28">
        <v>265848.0</v>
      </c>
      <c r="K204" s="29" t="s">
        <v>54</v>
      </c>
      <c r="L204" s="26"/>
      <c r="M204" s="25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ht="18.0" customHeight="1">
      <c r="A205" s="27">
        <v>302.0</v>
      </c>
      <c r="B205" s="28" t="s">
        <v>467</v>
      </c>
      <c r="C205" s="28">
        <v>230203.0</v>
      </c>
      <c r="D205" s="28" t="s">
        <v>478</v>
      </c>
      <c r="E205" s="28" t="s">
        <v>479</v>
      </c>
      <c r="F205" s="28">
        <v>2.0</v>
      </c>
      <c r="G205" s="28" t="s">
        <v>44</v>
      </c>
      <c r="H205" s="28" t="s">
        <v>119</v>
      </c>
      <c r="I205" s="28" t="s">
        <v>53</v>
      </c>
      <c r="J205" s="28">
        <v>265849.0</v>
      </c>
      <c r="K205" s="29" t="s">
        <v>54</v>
      </c>
      <c r="L205" s="26"/>
      <c r="M205" s="25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ht="18.0" customHeight="1">
      <c r="A206" s="27">
        <v>302.0</v>
      </c>
      <c r="B206" s="28" t="s">
        <v>467</v>
      </c>
      <c r="C206" s="28">
        <v>230204.0</v>
      </c>
      <c r="D206" s="28" t="s">
        <v>480</v>
      </c>
      <c r="E206" s="28" t="s">
        <v>481</v>
      </c>
      <c r="F206" s="28">
        <v>2.0</v>
      </c>
      <c r="G206" s="28" t="s">
        <v>44</v>
      </c>
      <c r="H206" s="28" t="s">
        <v>119</v>
      </c>
      <c r="I206" s="28" t="s">
        <v>53</v>
      </c>
      <c r="J206" s="28">
        <v>265850.0</v>
      </c>
      <c r="K206" s="29" t="s">
        <v>54</v>
      </c>
      <c r="L206" s="26"/>
      <c r="M206" s="25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ht="18.0" customHeight="1">
      <c r="A207" s="27">
        <v>303.0</v>
      </c>
      <c r="B207" s="28" t="s">
        <v>482</v>
      </c>
      <c r="C207" s="28">
        <v>330301.0</v>
      </c>
      <c r="D207" s="28" t="s">
        <v>483</v>
      </c>
      <c r="E207" s="28" t="s">
        <v>484</v>
      </c>
      <c r="F207" s="28">
        <v>1.0</v>
      </c>
      <c r="G207" s="28" t="s">
        <v>41</v>
      </c>
      <c r="H207" s="28" t="s">
        <v>57</v>
      </c>
      <c r="I207" s="28" t="s">
        <v>57</v>
      </c>
      <c r="J207" s="28"/>
      <c r="K207" s="29" t="s">
        <v>58</v>
      </c>
      <c r="L207" s="26"/>
      <c r="M207" s="25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ht="18.0" customHeight="1">
      <c r="A208" s="27">
        <v>303.0</v>
      </c>
      <c r="B208" s="28" t="s">
        <v>482</v>
      </c>
      <c r="C208" s="28">
        <v>330302.0</v>
      </c>
      <c r="D208" s="28" t="s">
        <v>485</v>
      </c>
      <c r="E208" s="28" t="s">
        <v>486</v>
      </c>
      <c r="F208" s="28">
        <v>1.0</v>
      </c>
      <c r="G208" s="28" t="s">
        <v>41</v>
      </c>
      <c r="H208" s="28" t="s">
        <v>52</v>
      </c>
      <c r="I208" s="28" t="s">
        <v>53</v>
      </c>
      <c r="J208" s="28">
        <v>530634.0</v>
      </c>
      <c r="K208" s="29" t="s">
        <v>54</v>
      </c>
      <c r="L208" s="26"/>
      <c r="M208" s="25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ht="18.0" customHeight="1">
      <c r="A209" s="27">
        <v>303.0</v>
      </c>
      <c r="B209" s="28" t="s">
        <v>482</v>
      </c>
      <c r="C209" s="28">
        <v>330303.0</v>
      </c>
      <c r="D209" s="28" t="s">
        <v>487</v>
      </c>
      <c r="E209" s="28" t="s">
        <v>488</v>
      </c>
      <c r="F209" s="28">
        <v>1.0</v>
      </c>
      <c r="G209" s="28" t="s">
        <v>41</v>
      </c>
      <c r="H209" s="28" t="s">
        <v>52</v>
      </c>
      <c r="I209" s="28" t="s">
        <v>53</v>
      </c>
      <c r="J209" s="28">
        <v>530633.0</v>
      </c>
      <c r="K209" s="29" t="s">
        <v>54</v>
      </c>
      <c r="L209" s="26"/>
      <c r="M209" s="25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ht="18.0" customHeight="1">
      <c r="A210" s="27">
        <v>303.0</v>
      </c>
      <c r="B210" s="28" t="s">
        <v>482</v>
      </c>
      <c r="C210" s="28">
        <v>330304.0</v>
      </c>
      <c r="D210" s="28" t="s">
        <v>489</v>
      </c>
      <c r="E210" s="28" t="s">
        <v>490</v>
      </c>
      <c r="F210" s="28">
        <v>1.0</v>
      </c>
      <c r="G210" s="28" t="s">
        <v>41</v>
      </c>
      <c r="H210" s="28" t="s">
        <v>57</v>
      </c>
      <c r="I210" s="28" t="s">
        <v>57</v>
      </c>
      <c r="J210" s="28"/>
      <c r="K210" s="29" t="s">
        <v>58</v>
      </c>
      <c r="L210" s="26"/>
      <c r="M210" s="25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ht="18.0" customHeight="1">
      <c r="A211" s="27">
        <v>303.0</v>
      </c>
      <c r="B211" s="28" t="s">
        <v>482</v>
      </c>
      <c r="C211" s="28">
        <v>330305.0</v>
      </c>
      <c r="D211" s="28" t="s">
        <v>491</v>
      </c>
      <c r="E211" s="28" t="s">
        <v>492</v>
      </c>
      <c r="F211" s="28">
        <v>1.0</v>
      </c>
      <c r="G211" s="28" t="s">
        <v>41</v>
      </c>
      <c r="H211" s="28" t="s">
        <v>57</v>
      </c>
      <c r="I211" s="28" t="s">
        <v>57</v>
      </c>
      <c r="J211" s="28"/>
      <c r="K211" s="29" t="s">
        <v>58</v>
      </c>
      <c r="L211" s="26"/>
      <c r="M211" s="25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ht="18.0" customHeight="1">
      <c r="A212" s="27">
        <v>303.0</v>
      </c>
      <c r="B212" s="28" t="s">
        <v>482</v>
      </c>
      <c r="C212" s="28">
        <v>330306.0</v>
      </c>
      <c r="D212" s="28" t="s">
        <v>493</v>
      </c>
      <c r="E212" s="28" t="s">
        <v>494</v>
      </c>
      <c r="F212" s="28">
        <v>1.0</v>
      </c>
      <c r="G212" s="28" t="s">
        <v>41</v>
      </c>
      <c r="H212" s="28" t="s">
        <v>57</v>
      </c>
      <c r="I212" s="28" t="s">
        <v>57</v>
      </c>
      <c r="J212" s="28"/>
      <c r="K212" s="29" t="s">
        <v>58</v>
      </c>
      <c r="L212" s="26"/>
      <c r="M212" s="25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ht="18.0" customHeight="1">
      <c r="A213" s="27">
        <v>303.0</v>
      </c>
      <c r="B213" s="28" t="s">
        <v>482</v>
      </c>
      <c r="C213" s="28">
        <v>330307.0</v>
      </c>
      <c r="D213" s="28" t="s">
        <v>495</v>
      </c>
      <c r="E213" s="28" t="s">
        <v>496</v>
      </c>
      <c r="F213" s="28">
        <v>1.0</v>
      </c>
      <c r="G213" s="28" t="s">
        <v>41</v>
      </c>
      <c r="H213" s="28" t="s">
        <v>57</v>
      </c>
      <c r="I213" s="28" t="s">
        <v>57</v>
      </c>
      <c r="J213" s="28"/>
      <c r="K213" s="29" t="s">
        <v>58</v>
      </c>
      <c r="L213" s="26"/>
      <c r="M213" s="25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ht="18.0" customHeight="1">
      <c r="A214" s="27">
        <v>303.0</v>
      </c>
      <c r="B214" s="28" t="s">
        <v>482</v>
      </c>
      <c r="C214" s="28">
        <v>330308.0</v>
      </c>
      <c r="D214" s="28" t="s">
        <v>497</v>
      </c>
      <c r="E214" s="28" t="s">
        <v>498</v>
      </c>
      <c r="F214" s="28">
        <v>1.0</v>
      </c>
      <c r="G214" s="28" t="s">
        <v>41</v>
      </c>
      <c r="H214" s="28" t="s">
        <v>57</v>
      </c>
      <c r="I214" s="28" t="s">
        <v>57</v>
      </c>
      <c r="J214" s="28"/>
      <c r="K214" s="29" t="s">
        <v>58</v>
      </c>
      <c r="L214" s="26"/>
      <c r="M214" s="25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ht="18.0" customHeight="1">
      <c r="A215" s="27">
        <v>303.0</v>
      </c>
      <c r="B215" s="28" t="s">
        <v>482</v>
      </c>
      <c r="C215" s="28">
        <v>330309.0</v>
      </c>
      <c r="D215" s="28" t="s">
        <v>499</v>
      </c>
      <c r="E215" s="28" t="s">
        <v>500</v>
      </c>
      <c r="F215" s="28">
        <v>1.0</v>
      </c>
      <c r="G215" s="28" t="s">
        <v>41</v>
      </c>
      <c r="H215" s="28" t="s">
        <v>52</v>
      </c>
      <c r="I215" s="28" t="s">
        <v>53</v>
      </c>
      <c r="J215" s="28">
        <v>530631.0</v>
      </c>
      <c r="K215" s="29" t="s">
        <v>54</v>
      </c>
      <c r="L215" s="26"/>
      <c r="M215" s="25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ht="18.0" customHeight="1">
      <c r="A216" s="27">
        <v>303.0</v>
      </c>
      <c r="B216" s="28" t="s">
        <v>482</v>
      </c>
      <c r="C216" s="28">
        <v>330310.0</v>
      </c>
      <c r="D216" s="28" t="s">
        <v>501</v>
      </c>
      <c r="E216" s="28" t="s">
        <v>502</v>
      </c>
      <c r="F216" s="28">
        <v>1.0</v>
      </c>
      <c r="G216" s="28" t="s">
        <v>44</v>
      </c>
      <c r="H216" s="28" t="s">
        <v>57</v>
      </c>
      <c r="I216" s="28" t="s">
        <v>57</v>
      </c>
      <c r="J216" s="28"/>
      <c r="K216" s="29" t="s">
        <v>58</v>
      </c>
      <c r="L216" s="26"/>
      <c r="M216" s="25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ht="18.0" customHeight="1">
      <c r="A217" s="27">
        <v>303.0</v>
      </c>
      <c r="B217" s="28" t="s">
        <v>482</v>
      </c>
      <c r="C217" s="28">
        <v>330311.0</v>
      </c>
      <c r="D217" s="28" t="s">
        <v>503</v>
      </c>
      <c r="E217" s="28" t="s">
        <v>504</v>
      </c>
      <c r="F217" s="28">
        <v>1.0</v>
      </c>
      <c r="G217" s="28" t="s">
        <v>41</v>
      </c>
      <c r="H217" s="28" t="s">
        <v>52</v>
      </c>
      <c r="I217" s="28" t="s">
        <v>53</v>
      </c>
      <c r="J217" s="28">
        <v>531143.0</v>
      </c>
      <c r="K217" s="29" t="s">
        <v>54</v>
      </c>
      <c r="L217" s="26"/>
      <c r="M217" s="25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ht="18.0" customHeight="1">
      <c r="A218" s="27">
        <v>303.0</v>
      </c>
      <c r="B218" s="28" t="s">
        <v>482</v>
      </c>
      <c r="C218" s="28">
        <v>330312.0</v>
      </c>
      <c r="D218" s="28" t="s">
        <v>505</v>
      </c>
      <c r="E218" s="28" t="s">
        <v>506</v>
      </c>
      <c r="F218" s="28">
        <v>1.0</v>
      </c>
      <c r="G218" s="28" t="s">
        <v>41</v>
      </c>
      <c r="H218" s="28" t="s">
        <v>57</v>
      </c>
      <c r="I218" s="28" t="s">
        <v>57</v>
      </c>
      <c r="J218" s="28"/>
      <c r="K218" s="29" t="s">
        <v>58</v>
      </c>
      <c r="L218" s="26"/>
      <c r="M218" s="25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ht="18.0" customHeight="1">
      <c r="A219" s="27">
        <v>303.0</v>
      </c>
      <c r="B219" s="28" t="s">
        <v>482</v>
      </c>
      <c r="C219" s="28">
        <v>330313.0</v>
      </c>
      <c r="D219" s="28" t="s">
        <v>507</v>
      </c>
      <c r="E219" s="28" t="s">
        <v>508</v>
      </c>
      <c r="F219" s="28">
        <v>1.0</v>
      </c>
      <c r="G219" s="28" t="s">
        <v>41</v>
      </c>
      <c r="H219" s="28" t="s">
        <v>57</v>
      </c>
      <c r="I219" s="28" t="s">
        <v>57</v>
      </c>
      <c r="J219" s="28"/>
      <c r="K219" s="29" t="s">
        <v>58</v>
      </c>
      <c r="L219" s="26"/>
      <c r="M219" s="25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ht="18.0" customHeight="1">
      <c r="A220" s="27">
        <v>303.0</v>
      </c>
      <c r="B220" s="28" t="s">
        <v>482</v>
      </c>
      <c r="C220" s="28">
        <v>330314.0</v>
      </c>
      <c r="D220" s="28" t="s">
        <v>509</v>
      </c>
      <c r="E220" s="28" t="s">
        <v>510</v>
      </c>
      <c r="F220" s="28">
        <v>1.0</v>
      </c>
      <c r="G220" s="28" t="s">
        <v>44</v>
      </c>
      <c r="H220" s="28" t="s">
        <v>61</v>
      </c>
      <c r="I220" s="28" t="s">
        <v>53</v>
      </c>
      <c r="J220" s="28">
        <v>531136.0</v>
      </c>
      <c r="K220" s="29" t="s">
        <v>54</v>
      </c>
      <c r="L220" s="26"/>
      <c r="M220" s="25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ht="18.0" customHeight="1">
      <c r="A221" s="27">
        <v>303.0</v>
      </c>
      <c r="B221" s="28" t="s">
        <v>482</v>
      </c>
      <c r="C221" s="28">
        <v>330315.0</v>
      </c>
      <c r="D221" s="28" t="s">
        <v>511</v>
      </c>
      <c r="E221" s="28" t="s">
        <v>512</v>
      </c>
      <c r="F221" s="28">
        <v>1.0</v>
      </c>
      <c r="G221" s="28" t="s">
        <v>41</v>
      </c>
      <c r="H221" s="28" t="s">
        <v>57</v>
      </c>
      <c r="I221" s="28" t="s">
        <v>57</v>
      </c>
      <c r="J221" s="28"/>
      <c r="K221" s="29" t="s">
        <v>58</v>
      </c>
      <c r="L221" s="26"/>
      <c r="M221" s="25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ht="18.0" customHeight="1">
      <c r="A222" s="27">
        <v>303.0</v>
      </c>
      <c r="B222" s="28" t="s">
        <v>482</v>
      </c>
      <c r="C222" s="28">
        <v>330316.0</v>
      </c>
      <c r="D222" s="28" t="s">
        <v>513</v>
      </c>
      <c r="E222" s="28" t="s">
        <v>514</v>
      </c>
      <c r="F222" s="28">
        <v>1.0</v>
      </c>
      <c r="G222" s="28" t="s">
        <v>41</v>
      </c>
      <c r="H222" s="28" t="s">
        <v>57</v>
      </c>
      <c r="I222" s="28" t="s">
        <v>57</v>
      </c>
      <c r="J222" s="28"/>
      <c r="K222" s="29" t="s">
        <v>58</v>
      </c>
      <c r="L222" s="26"/>
      <c r="M222" s="25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ht="18.0" customHeight="1">
      <c r="A223" s="27">
        <v>303.0</v>
      </c>
      <c r="B223" s="28" t="s">
        <v>482</v>
      </c>
      <c r="C223" s="28">
        <v>330317.0</v>
      </c>
      <c r="D223" s="28" t="s">
        <v>515</v>
      </c>
      <c r="E223" s="28" t="s">
        <v>516</v>
      </c>
      <c r="F223" s="28">
        <v>1.0</v>
      </c>
      <c r="G223" s="28" t="s">
        <v>41</v>
      </c>
      <c r="H223" s="28" t="s">
        <v>57</v>
      </c>
      <c r="I223" s="28" t="s">
        <v>57</v>
      </c>
      <c r="J223" s="28"/>
      <c r="K223" s="29" t="s">
        <v>58</v>
      </c>
      <c r="L223" s="26"/>
      <c r="M223" s="25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ht="18.0" customHeight="1">
      <c r="A224" s="27">
        <v>303.0</v>
      </c>
      <c r="B224" s="28" t="s">
        <v>482</v>
      </c>
      <c r="C224" s="28">
        <v>330318.0</v>
      </c>
      <c r="D224" s="28" t="s">
        <v>517</v>
      </c>
      <c r="E224" s="28" t="s">
        <v>518</v>
      </c>
      <c r="F224" s="28">
        <v>1.0</v>
      </c>
      <c r="G224" s="28" t="s">
        <v>41</v>
      </c>
      <c r="H224" s="28" t="s">
        <v>52</v>
      </c>
      <c r="I224" s="28" t="s">
        <v>53</v>
      </c>
      <c r="J224" s="28">
        <v>524663.0</v>
      </c>
      <c r="K224" s="29" t="s">
        <v>54</v>
      </c>
      <c r="L224" s="26"/>
      <c r="M224" s="25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ht="18.0" customHeight="1">
      <c r="A225" s="27">
        <v>303.0</v>
      </c>
      <c r="B225" s="28" t="s">
        <v>482</v>
      </c>
      <c r="C225" s="28">
        <v>330319.0</v>
      </c>
      <c r="D225" s="28" t="s">
        <v>519</v>
      </c>
      <c r="E225" s="28" t="s">
        <v>520</v>
      </c>
      <c r="F225" s="28">
        <v>1.0</v>
      </c>
      <c r="G225" s="28" t="s">
        <v>41</v>
      </c>
      <c r="H225" s="28" t="s">
        <v>57</v>
      </c>
      <c r="I225" s="28" t="s">
        <v>57</v>
      </c>
      <c r="J225" s="28"/>
      <c r="K225" s="29" t="s">
        <v>58</v>
      </c>
      <c r="L225" s="26"/>
      <c r="M225" s="25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ht="18.0" customHeight="1">
      <c r="A226" s="27">
        <v>303.0</v>
      </c>
      <c r="B226" s="28" t="s">
        <v>482</v>
      </c>
      <c r="C226" s="28">
        <v>330320.0</v>
      </c>
      <c r="D226" s="28" t="s">
        <v>521</v>
      </c>
      <c r="E226" s="28" t="s">
        <v>522</v>
      </c>
      <c r="F226" s="28">
        <v>1.0</v>
      </c>
      <c r="G226" s="28" t="s">
        <v>41</v>
      </c>
      <c r="H226" s="28" t="s">
        <v>57</v>
      </c>
      <c r="I226" s="28" t="s">
        <v>57</v>
      </c>
      <c r="J226" s="28"/>
      <c r="K226" s="29" t="s">
        <v>58</v>
      </c>
      <c r="L226" s="26"/>
      <c r="M226" s="25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ht="18.0" customHeight="1">
      <c r="A227" s="27">
        <v>303.0</v>
      </c>
      <c r="B227" s="28" t="s">
        <v>482</v>
      </c>
      <c r="C227" s="28">
        <v>330321.0</v>
      </c>
      <c r="D227" s="28" t="s">
        <v>523</v>
      </c>
      <c r="E227" s="28" t="s">
        <v>524</v>
      </c>
      <c r="F227" s="28">
        <v>1.0</v>
      </c>
      <c r="G227" s="28" t="s">
        <v>41</v>
      </c>
      <c r="H227" s="28" t="s">
        <v>57</v>
      </c>
      <c r="I227" s="28" t="s">
        <v>57</v>
      </c>
      <c r="J227" s="28"/>
      <c r="K227" s="29" t="s">
        <v>58</v>
      </c>
      <c r="L227" s="26"/>
      <c r="M227" s="25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ht="18.0" customHeight="1">
      <c r="A228" s="27">
        <v>303.0</v>
      </c>
      <c r="B228" s="28" t="s">
        <v>482</v>
      </c>
      <c r="C228" s="28">
        <v>330322.0</v>
      </c>
      <c r="D228" s="28" t="s">
        <v>525</v>
      </c>
      <c r="E228" s="28" t="s">
        <v>526</v>
      </c>
      <c r="F228" s="28">
        <v>1.0</v>
      </c>
      <c r="G228" s="28" t="s">
        <v>41</v>
      </c>
      <c r="H228" s="28" t="s">
        <v>52</v>
      </c>
      <c r="I228" s="28" t="s">
        <v>53</v>
      </c>
      <c r="J228" s="28">
        <v>530646.0</v>
      </c>
      <c r="K228" s="29" t="s">
        <v>54</v>
      </c>
      <c r="L228" s="26"/>
      <c r="M228" s="25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ht="18.0" customHeight="1">
      <c r="A229" s="27">
        <v>303.0</v>
      </c>
      <c r="B229" s="28" t="s">
        <v>482</v>
      </c>
      <c r="C229" s="28">
        <v>330323.0</v>
      </c>
      <c r="D229" s="28" t="s">
        <v>527</v>
      </c>
      <c r="E229" s="28" t="s">
        <v>528</v>
      </c>
      <c r="F229" s="28">
        <v>1.0</v>
      </c>
      <c r="G229" s="28" t="s">
        <v>41</v>
      </c>
      <c r="H229" s="28" t="s">
        <v>57</v>
      </c>
      <c r="I229" s="28" t="s">
        <v>57</v>
      </c>
      <c r="J229" s="28"/>
      <c r="K229" s="29" t="s">
        <v>58</v>
      </c>
      <c r="L229" s="26"/>
      <c r="M229" s="25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ht="18.0" customHeight="1">
      <c r="A230" s="27">
        <v>303.0</v>
      </c>
      <c r="B230" s="28" t="s">
        <v>482</v>
      </c>
      <c r="C230" s="28">
        <v>330324.0</v>
      </c>
      <c r="D230" s="28" t="s">
        <v>529</v>
      </c>
      <c r="E230" s="28" t="s">
        <v>530</v>
      </c>
      <c r="F230" s="28">
        <v>1.0</v>
      </c>
      <c r="G230" s="28" t="s">
        <v>41</v>
      </c>
      <c r="H230" s="28" t="s">
        <v>57</v>
      </c>
      <c r="I230" s="28" t="s">
        <v>57</v>
      </c>
      <c r="J230" s="28"/>
      <c r="K230" s="29" t="s">
        <v>58</v>
      </c>
      <c r="L230" s="26"/>
      <c r="M230" s="25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ht="18.0" customHeight="1">
      <c r="A231" s="27">
        <v>303.0</v>
      </c>
      <c r="B231" s="28" t="s">
        <v>482</v>
      </c>
      <c r="C231" s="28">
        <v>330325.0</v>
      </c>
      <c r="D231" s="28" t="s">
        <v>531</v>
      </c>
      <c r="E231" s="28" t="s">
        <v>532</v>
      </c>
      <c r="F231" s="28">
        <v>1.0</v>
      </c>
      <c r="G231" s="28" t="s">
        <v>41</v>
      </c>
      <c r="H231" s="28" t="s">
        <v>52</v>
      </c>
      <c r="I231" s="28" t="s">
        <v>53</v>
      </c>
      <c r="J231" s="28">
        <v>530647.0</v>
      </c>
      <c r="K231" s="29" t="s">
        <v>54</v>
      </c>
      <c r="L231" s="26"/>
      <c r="M231" s="25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ht="18.0" customHeight="1">
      <c r="A232" s="27">
        <v>303.0</v>
      </c>
      <c r="B232" s="28" t="s">
        <v>482</v>
      </c>
      <c r="C232" s="28">
        <v>130309.0</v>
      </c>
      <c r="D232" s="28" t="s">
        <v>533</v>
      </c>
      <c r="E232" s="28" t="s">
        <v>534</v>
      </c>
      <c r="F232" s="28">
        <v>2.0</v>
      </c>
      <c r="G232" s="28" t="s">
        <v>41</v>
      </c>
      <c r="H232" s="28" t="s">
        <v>130</v>
      </c>
      <c r="I232" s="28" t="s">
        <v>53</v>
      </c>
      <c r="J232" s="28">
        <v>524953.0</v>
      </c>
      <c r="K232" s="29" t="s">
        <v>54</v>
      </c>
      <c r="L232" s="26"/>
      <c r="M232" s="25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ht="18.0" customHeight="1">
      <c r="A233" s="27">
        <v>303.0</v>
      </c>
      <c r="B233" s="28" t="s">
        <v>482</v>
      </c>
      <c r="C233" s="28">
        <v>230301.0</v>
      </c>
      <c r="D233" s="28" t="s">
        <v>535</v>
      </c>
      <c r="E233" s="28" t="s">
        <v>536</v>
      </c>
      <c r="F233" s="28">
        <v>2.0</v>
      </c>
      <c r="G233" s="28" t="s">
        <v>41</v>
      </c>
      <c r="H233" s="28" t="s">
        <v>57</v>
      </c>
      <c r="I233" s="28" t="s">
        <v>57</v>
      </c>
      <c r="J233" s="28"/>
      <c r="K233" s="29" t="s">
        <v>58</v>
      </c>
      <c r="L233" s="26"/>
      <c r="M233" s="25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ht="18.0" customHeight="1">
      <c r="A234" s="27">
        <v>303.0</v>
      </c>
      <c r="B234" s="28" t="s">
        <v>482</v>
      </c>
      <c r="C234" s="28">
        <v>230305.0</v>
      </c>
      <c r="D234" s="28" t="s">
        <v>537</v>
      </c>
      <c r="E234" s="28" t="s">
        <v>538</v>
      </c>
      <c r="F234" s="28">
        <v>2.0</v>
      </c>
      <c r="G234" s="28" t="s">
        <v>41</v>
      </c>
      <c r="H234" s="28" t="s">
        <v>130</v>
      </c>
      <c r="I234" s="28" t="s">
        <v>53</v>
      </c>
      <c r="J234" s="28">
        <v>524946.0</v>
      </c>
      <c r="K234" s="29" t="s">
        <v>54</v>
      </c>
      <c r="L234" s="26"/>
      <c r="M234" s="25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ht="18.0" customHeight="1">
      <c r="A235" s="27">
        <v>303.0</v>
      </c>
      <c r="B235" s="28" t="s">
        <v>482</v>
      </c>
      <c r="C235" s="28">
        <v>230307.0</v>
      </c>
      <c r="D235" s="28" t="s">
        <v>539</v>
      </c>
      <c r="E235" s="28" t="s">
        <v>540</v>
      </c>
      <c r="F235" s="28">
        <v>2.0</v>
      </c>
      <c r="G235" s="28" t="s">
        <v>41</v>
      </c>
      <c r="H235" s="28" t="s">
        <v>130</v>
      </c>
      <c r="I235" s="28" t="s">
        <v>53</v>
      </c>
      <c r="J235" s="28">
        <v>524947.0</v>
      </c>
      <c r="K235" s="29" t="s">
        <v>54</v>
      </c>
      <c r="L235" s="26"/>
      <c r="M235" s="25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ht="18.0" customHeight="1">
      <c r="A236" s="27">
        <v>303.0</v>
      </c>
      <c r="B236" s="28" t="s">
        <v>482</v>
      </c>
      <c r="C236" s="28">
        <v>230308.0</v>
      </c>
      <c r="D236" s="28" t="s">
        <v>541</v>
      </c>
      <c r="E236" s="28" t="s">
        <v>542</v>
      </c>
      <c r="F236" s="28">
        <v>2.0</v>
      </c>
      <c r="G236" s="28" t="s">
        <v>41</v>
      </c>
      <c r="H236" s="28" t="s">
        <v>130</v>
      </c>
      <c r="I236" s="28" t="s">
        <v>53</v>
      </c>
      <c r="J236" s="28">
        <v>524955.0</v>
      </c>
      <c r="K236" s="29" t="s">
        <v>54</v>
      </c>
      <c r="L236" s="26"/>
      <c r="M236" s="25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ht="18.0" customHeight="1">
      <c r="A237" s="27">
        <v>303.0</v>
      </c>
      <c r="B237" s="28" t="s">
        <v>482</v>
      </c>
      <c r="C237" s="28">
        <v>230313.0</v>
      </c>
      <c r="D237" s="28" t="s">
        <v>543</v>
      </c>
      <c r="E237" s="28" t="s">
        <v>544</v>
      </c>
      <c r="F237" s="28">
        <v>2.0</v>
      </c>
      <c r="G237" s="28" t="s">
        <v>44</v>
      </c>
      <c r="H237" s="28" t="s">
        <v>119</v>
      </c>
      <c r="I237" s="28" t="s">
        <v>53</v>
      </c>
      <c r="J237" s="28">
        <v>524945.0</v>
      </c>
      <c r="K237" s="29" t="s">
        <v>54</v>
      </c>
      <c r="L237" s="26"/>
      <c r="M237" s="25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ht="18.0" customHeight="1">
      <c r="A238" s="27">
        <v>303.0</v>
      </c>
      <c r="B238" s="28" t="s">
        <v>482</v>
      </c>
      <c r="C238" s="28">
        <v>230320.0</v>
      </c>
      <c r="D238" s="28" t="s">
        <v>545</v>
      </c>
      <c r="E238" s="28" t="s">
        <v>546</v>
      </c>
      <c r="F238" s="28">
        <v>2.0</v>
      </c>
      <c r="G238" s="28" t="s">
        <v>41</v>
      </c>
      <c r="H238" s="28" t="s">
        <v>57</v>
      </c>
      <c r="I238" s="28" t="s">
        <v>57</v>
      </c>
      <c r="J238" s="28"/>
      <c r="K238" s="29" t="s">
        <v>58</v>
      </c>
      <c r="L238" s="26"/>
      <c r="M238" s="25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ht="18.0" customHeight="1">
      <c r="A239" s="27">
        <v>303.0</v>
      </c>
      <c r="B239" s="28" t="s">
        <v>482</v>
      </c>
      <c r="C239" s="28">
        <v>130301.0</v>
      </c>
      <c r="D239" s="28" t="s">
        <v>547</v>
      </c>
      <c r="E239" s="28" t="s">
        <v>548</v>
      </c>
      <c r="F239" s="28">
        <v>3.0</v>
      </c>
      <c r="G239" s="28" t="s">
        <v>44</v>
      </c>
      <c r="H239" s="28" t="s">
        <v>119</v>
      </c>
      <c r="I239" s="28" t="s">
        <v>53</v>
      </c>
      <c r="J239" s="28">
        <v>519395.0</v>
      </c>
      <c r="K239" s="29" t="s">
        <v>54</v>
      </c>
      <c r="L239" s="26"/>
      <c r="M239" s="25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ht="18.0" customHeight="1">
      <c r="A240" s="27">
        <v>303.0</v>
      </c>
      <c r="B240" s="28" t="s">
        <v>482</v>
      </c>
      <c r="C240" s="28">
        <v>130302.0</v>
      </c>
      <c r="D240" s="28" t="s">
        <v>549</v>
      </c>
      <c r="E240" s="28" t="s">
        <v>550</v>
      </c>
      <c r="F240" s="28">
        <v>3.0</v>
      </c>
      <c r="G240" s="28" t="s">
        <v>41</v>
      </c>
      <c r="H240" s="28" t="s">
        <v>130</v>
      </c>
      <c r="I240" s="28" t="s">
        <v>53</v>
      </c>
      <c r="J240" s="28">
        <v>524959.0</v>
      </c>
      <c r="K240" s="29" t="s">
        <v>54</v>
      </c>
      <c r="L240" s="26"/>
      <c r="M240" s="25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ht="18.0" customHeight="1">
      <c r="A241" s="27">
        <v>303.0</v>
      </c>
      <c r="B241" s="28" t="s">
        <v>482</v>
      </c>
      <c r="C241" s="28">
        <v>130303.0</v>
      </c>
      <c r="D241" s="28" t="s">
        <v>551</v>
      </c>
      <c r="E241" s="28" t="s">
        <v>552</v>
      </c>
      <c r="F241" s="28">
        <v>3.0</v>
      </c>
      <c r="G241" s="28" t="s">
        <v>41</v>
      </c>
      <c r="H241" s="28" t="s">
        <v>130</v>
      </c>
      <c r="I241" s="28" t="s">
        <v>53</v>
      </c>
      <c r="J241" s="28">
        <v>519382.0</v>
      </c>
      <c r="K241" s="29" t="s">
        <v>54</v>
      </c>
      <c r="L241" s="26"/>
      <c r="M241" s="25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ht="18.0" customHeight="1">
      <c r="A242" s="27">
        <v>303.0</v>
      </c>
      <c r="B242" s="28" t="s">
        <v>482</v>
      </c>
      <c r="C242" s="28">
        <v>130305.0</v>
      </c>
      <c r="D242" s="28" t="s">
        <v>553</v>
      </c>
      <c r="E242" s="28" t="s">
        <v>554</v>
      </c>
      <c r="F242" s="28">
        <v>3.0</v>
      </c>
      <c r="G242" s="28" t="s">
        <v>41</v>
      </c>
      <c r="H242" s="28" t="s">
        <v>130</v>
      </c>
      <c r="I242" s="28" t="s">
        <v>53</v>
      </c>
      <c r="J242" s="28">
        <v>519398.0</v>
      </c>
      <c r="K242" s="29" t="s">
        <v>54</v>
      </c>
      <c r="L242" s="26"/>
      <c r="M242" s="25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ht="18.0" customHeight="1">
      <c r="A243" s="27">
        <v>303.0</v>
      </c>
      <c r="B243" s="28" t="s">
        <v>482</v>
      </c>
      <c r="C243" s="28">
        <v>130310.0</v>
      </c>
      <c r="D243" s="28" t="s">
        <v>555</v>
      </c>
      <c r="E243" s="28" t="s">
        <v>556</v>
      </c>
      <c r="F243" s="28">
        <v>3.0</v>
      </c>
      <c r="G243" s="28" t="s">
        <v>41</v>
      </c>
      <c r="H243" s="28" t="s">
        <v>130</v>
      </c>
      <c r="I243" s="28" t="s">
        <v>53</v>
      </c>
      <c r="J243" s="28">
        <v>519394.0</v>
      </c>
      <c r="K243" s="29" t="s">
        <v>54</v>
      </c>
      <c r="L243" s="26"/>
      <c r="M243" s="25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ht="18.0" customHeight="1">
      <c r="A244" s="27">
        <v>303.0</v>
      </c>
      <c r="B244" s="28" t="s">
        <v>482</v>
      </c>
      <c r="C244" s="28">
        <v>30301.0</v>
      </c>
      <c r="D244" s="28" t="s">
        <v>557</v>
      </c>
      <c r="E244" s="28" t="s">
        <v>558</v>
      </c>
      <c r="F244" s="28">
        <v>4.0</v>
      </c>
      <c r="G244" s="28" t="s">
        <v>41</v>
      </c>
      <c r="H244" s="28" t="s">
        <v>130</v>
      </c>
      <c r="I244" s="28" t="s">
        <v>53</v>
      </c>
      <c r="J244" s="28">
        <v>524957.0</v>
      </c>
      <c r="K244" s="29" t="s">
        <v>54</v>
      </c>
      <c r="L244" s="26"/>
      <c r="M244" s="25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ht="18.0" customHeight="1">
      <c r="A245" s="27">
        <v>303.0</v>
      </c>
      <c r="B245" s="28" t="s">
        <v>482</v>
      </c>
      <c r="C245" s="28">
        <v>30302.0</v>
      </c>
      <c r="D245" s="28" t="s">
        <v>559</v>
      </c>
      <c r="E245" s="28" t="s">
        <v>560</v>
      </c>
      <c r="F245" s="28">
        <v>4.0</v>
      </c>
      <c r="G245" s="28" t="s">
        <v>41</v>
      </c>
      <c r="H245" s="28" t="s">
        <v>130</v>
      </c>
      <c r="I245" s="28" t="s">
        <v>53</v>
      </c>
      <c r="J245" s="28">
        <v>519383.0</v>
      </c>
      <c r="K245" s="29" t="s">
        <v>54</v>
      </c>
      <c r="L245" s="26"/>
      <c r="M245" s="25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ht="18.0" customHeight="1">
      <c r="A246" s="27">
        <v>303.0</v>
      </c>
      <c r="B246" s="28" t="s">
        <v>482</v>
      </c>
      <c r="C246" s="28">
        <v>30303.0</v>
      </c>
      <c r="D246" s="28" t="s">
        <v>561</v>
      </c>
      <c r="E246" s="28" t="s">
        <v>562</v>
      </c>
      <c r="F246" s="28">
        <v>4.0</v>
      </c>
      <c r="G246" s="28" t="s">
        <v>41</v>
      </c>
      <c r="H246" s="28" t="s">
        <v>57</v>
      </c>
      <c r="I246" s="28" t="s">
        <v>57</v>
      </c>
      <c r="J246" s="28"/>
      <c r="K246" s="29" t="s">
        <v>58</v>
      </c>
      <c r="L246" s="26"/>
      <c r="M246" s="25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ht="18.0" customHeight="1">
      <c r="A247" s="27">
        <v>305.0</v>
      </c>
      <c r="B247" s="28" t="s">
        <v>563</v>
      </c>
      <c r="C247" s="28">
        <v>330501.0</v>
      </c>
      <c r="D247" s="28" t="s">
        <v>564</v>
      </c>
      <c r="E247" s="28" t="s">
        <v>565</v>
      </c>
      <c r="F247" s="28">
        <v>1.0</v>
      </c>
      <c r="G247" s="28" t="s">
        <v>44</v>
      </c>
      <c r="H247" s="28" t="s">
        <v>61</v>
      </c>
      <c r="I247" s="28" t="s">
        <v>53</v>
      </c>
      <c r="J247" s="28">
        <v>518932.0</v>
      </c>
      <c r="K247" s="29" t="s">
        <v>54</v>
      </c>
      <c r="L247" s="26"/>
      <c r="M247" s="25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ht="18.0" customHeight="1">
      <c r="A248" s="27">
        <v>305.0</v>
      </c>
      <c r="B248" s="28" t="s">
        <v>563</v>
      </c>
      <c r="C248" s="28">
        <v>330503.0</v>
      </c>
      <c r="D248" s="28" t="s">
        <v>566</v>
      </c>
      <c r="E248" s="28" t="s">
        <v>567</v>
      </c>
      <c r="F248" s="28">
        <v>1.0</v>
      </c>
      <c r="G248" s="28" t="s">
        <v>41</v>
      </c>
      <c r="H248" s="28" t="s">
        <v>52</v>
      </c>
      <c r="I248" s="28" t="s">
        <v>53</v>
      </c>
      <c r="J248" s="28">
        <v>511069.0</v>
      </c>
      <c r="K248" s="29" t="s">
        <v>54</v>
      </c>
      <c r="L248" s="26"/>
      <c r="M248" s="25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ht="18.0" customHeight="1">
      <c r="A249" s="27">
        <v>305.0</v>
      </c>
      <c r="B249" s="28" t="s">
        <v>563</v>
      </c>
      <c r="C249" s="28">
        <v>330504.0</v>
      </c>
      <c r="D249" s="28" t="s">
        <v>568</v>
      </c>
      <c r="E249" s="28" t="s">
        <v>569</v>
      </c>
      <c r="F249" s="28">
        <v>1.0</v>
      </c>
      <c r="G249" s="28" t="s">
        <v>41</v>
      </c>
      <c r="H249" s="28" t="s">
        <v>52</v>
      </c>
      <c r="I249" s="28" t="s">
        <v>53</v>
      </c>
      <c r="J249" s="28"/>
      <c r="K249" s="29" t="s">
        <v>54</v>
      </c>
      <c r="L249" s="26"/>
      <c r="M249" s="25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ht="18.0" customHeight="1">
      <c r="A250" s="27">
        <v>305.0</v>
      </c>
      <c r="B250" s="28" t="s">
        <v>563</v>
      </c>
      <c r="C250" s="28">
        <v>330505.0</v>
      </c>
      <c r="D250" s="28" t="s">
        <v>570</v>
      </c>
      <c r="E250" s="28" t="s">
        <v>571</v>
      </c>
      <c r="F250" s="28">
        <v>1.0</v>
      </c>
      <c r="G250" s="28" t="s">
        <v>41</v>
      </c>
      <c r="H250" s="28" t="s">
        <v>52</v>
      </c>
      <c r="I250" s="28" t="s">
        <v>53</v>
      </c>
      <c r="J250" s="28">
        <v>518940.0</v>
      </c>
      <c r="K250" s="29" t="s">
        <v>54</v>
      </c>
      <c r="L250" s="26"/>
      <c r="M250" s="25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ht="18.0" customHeight="1">
      <c r="A251" s="27">
        <v>305.0</v>
      </c>
      <c r="B251" s="28" t="s">
        <v>563</v>
      </c>
      <c r="C251" s="28">
        <v>330506.0</v>
      </c>
      <c r="D251" s="28" t="s">
        <v>572</v>
      </c>
      <c r="E251" s="28" t="s">
        <v>573</v>
      </c>
      <c r="F251" s="28">
        <v>1.0</v>
      </c>
      <c r="G251" s="28" t="s">
        <v>41</v>
      </c>
      <c r="H251" s="28" t="s">
        <v>52</v>
      </c>
      <c r="I251" s="28" t="s">
        <v>53</v>
      </c>
      <c r="J251" s="28">
        <v>511166.0</v>
      </c>
      <c r="K251" s="29" t="s">
        <v>54</v>
      </c>
      <c r="L251" s="26"/>
      <c r="M251" s="25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ht="18.0" customHeight="1">
      <c r="A252" s="27">
        <v>305.0</v>
      </c>
      <c r="B252" s="28" t="s">
        <v>563</v>
      </c>
      <c r="C252" s="28">
        <v>330507.0</v>
      </c>
      <c r="D252" s="28" t="s">
        <v>574</v>
      </c>
      <c r="E252" s="28" t="s">
        <v>575</v>
      </c>
      <c r="F252" s="28">
        <v>1.0</v>
      </c>
      <c r="G252" s="28" t="s">
        <v>41</v>
      </c>
      <c r="H252" s="28" t="s">
        <v>52</v>
      </c>
      <c r="I252" s="28" t="s">
        <v>53</v>
      </c>
      <c r="J252" s="28">
        <v>530334.0</v>
      </c>
      <c r="K252" s="29" t="s">
        <v>54</v>
      </c>
      <c r="L252" s="26"/>
      <c r="M252" s="25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ht="18.0" customHeight="1">
      <c r="A253" s="27">
        <v>305.0</v>
      </c>
      <c r="B253" s="28" t="s">
        <v>563</v>
      </c>
      <c r="C253" s="28">
        <v>330508.0</v>
      </c>
      <c r="D253" s="28" t="s">
        <v>576</v>
      </c>
      <c r="E253" s="28" t="s">
        <v>577</v>
      </c>
      <c r="F253" s="28">
        <v>1.0</v>
      </c>
      <c r="G253" s="28" t="s">
        <v>41</v>
      </c>
      <c r="H253" s="28" t="s">
        <v>52</v>
      </c>
      <c r="I253" s="28" t="s">
        <v>53</v>
      </c>
      <c r="J253" s="28">
        <v>530335.0</v>
      </c>
      <c r="K253" s="29" t="s">
        <v>54</v>
      </c>
      <c r="L253" s="26"/>
      <c r="M253" s="25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ht="18.0" customHeight="1">
      <c r="A254" s="27">
        <v>305.0</v>
      </c>
      <c r="B254" s="28" t="s">
        <v>563</v>
      </c>
      <c r="C254" s="28">
        <v>330510.0</v>
      </c>
      <c r="D254" s="28" t="s">
        <v>578</v>
      </c>
      <c r="E254" s="28" t="s">
        <v>579</v>
      </c>
      <c r="F254" s="28">
        <v>1.0</v>
      </c>
      <c r="G254" s="28" t="s">
        <v>41</v>
      </c>
      <c r="H254" s="28" t="s">
        <v>52</v>
      </c>
      <c r="I254" s="28" t="s">
        <v>53</v>
      </c>
      <c r="J254" s="28">
        <v>511067.0</v>
      </c>
      <c r="K254" s="29" t="s">
        <v>54</v>
      </c>
      <c r="L254" s="26"/>
      <c r="M254" s="25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ht="18.0" customHeight="1">
      <c r="A255" s="27">
        <v>305.0</v>
      </c>
      <c r="B255" s="28" t="s">
        <v>563</v>
      </c>
      <c r="C255" s="28">
        <v>330516.0</v>
      </c>
      <c r="D255" s="28" t="s">
        <v>580</v>
      </c>
      <c r="E255" s="28" t="s">
        <v>581</v>
      </c>
      <c r="F255" s="28">
        <v>1.0</v>
      </c>
      <c r="G255" s="28" t="s">
        <v>41</v>
      </c>
      <c r="H255" s="28" t="s">
        <v>52</v>
      </c>
      <c r="I255" s="28" t="s">
        <v>53</v>
      </c>
      <c r="J255" s="28"/>
      <c r="K255" s="29" t="s">
        <v>54</v>
      </c>
      <c r="L255" s="26"/>
      <c r="M255" s="25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ht="18.0" customHeight="1">
      <c r="A256" s="27">
        <v>305.0</v>
      </c>
      <c r="B256" s="28" t="s">
        <v>563</v>
      </c>
      <c r="C256" s="28">
        <v>330517.0</v>
      </c>
      <c r="D256" s="28" t="s">
        <v>582</v>
      </c>
      <c r="E256" s="28" t="s">
        <v>583</v>
      </c>
      <c r="F256" s="28">
        <v>1.0</v>
      </c>
      <c r="G256" s="28" t="s">
        <v>41</v>
      </c>
      <c r="H256" s="28" t="s">
        <v>52</v>
      </c>
      <c r="I256" s="28" t="s">
        <v>53</v>
      </c>
      <c r="J256" s="28"/>
      <c r="K256" s="29" t="s">
        <v>54</v>
      </c>
      <c r="L256" s="26"/>
      <c r="M256" s="25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ht="18.0" customHeight="1">
      <c r="A257" s="27">
        <v>305.0</v>
      </c>
      <c r="B257" s="28" t="s">
        <v>563</v>
      </c>
      <c r="C257" s="28">
        <v>230501.0</v>
      </c>
      <c r="D257" s="28" t="s">
        <v>584</v>
      </c>
      <c r="E257" s="28" t="s">
        <v>585</v>
      </c>
      <c r="F257" s="28">
        <v>2.0</v>
      </c>
      <c r="G257" s="28" t="s">
        <v>41</v>
      </c>
      <c r="H257" s="28" t="s">
        <v>130</v>
      </c>
      <c r="I257" s="28" t="s">
        <v>53</v>
      </c>
      <c r="J257" s="28">
        <v>518935.0</v>
      </c>
      <c r="K257" s="29" t="s">
        <v>54</v>
      </c>
      <c r="L257" s="26"/>
      <c r="M257" s="25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ht="18.0" customHeight="1">
      <c r="A258" s="27">
        <v>305.0</v>
      </c>
      <c r="B258" s="28" t="s">
        <v>563</v>
      </c>
      <c r="C258" s="28">
        <v>230503.0</v>
      </c>
      <c r="D258" s="28" t="s">
        <v>586</v>
      </c>
      <c r="E258" s="28" t="s">
        <v>587</v>
      </c>
      <c r="F258" s="28">
        <v>2.0</v>
      </c>
      <c r="G258" s="28" t="s">
        <v>44</v>
      </c>
      <c r="H258" s="28" t="s">
        <v>119</v>
      </c>
      <c r="I258" s="28" t="s">
        <v>53</v>
      </c>
      <c r="J258" s="28"/>
      <c r="K258" s="29" t="s">
        <v>54</v>
      </c>
      <c r="L258" s="26"/>
      <c r="M258" s="25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ht="18.0" customHeight="1">
      <c r="A259" s="27">
        <v>305.0</v>
      </c>
      <c r="B259" s="28" t="s">
        <v>563</v>
      </c>
      <c r="C259" s="28">
        <v>230504.0</v>
      </c>
      <c r="D259" s="28" t="s">
        <v>588</v>
      </c>
      <c r="E259" s="28" t="s">
        <v>589</v>
      </c>
      <c r="F259" s="28">
        <v>2.0</v>
      </c>
      <c r="G259" s="28" t="s">
        <v>44</v>
      </c>
      <c r="H259" s="28" t="s">
        <v>57</v>
      </c>
      <c r="I259" s="28" t="s">
        <v>53</v>
      </c>
      <c r="J259" s="28"/>
      <c r="K259" s="29" t="s">
        <v>58</v>
      </c>
      <c r="L259" s="30" t="s">
        <v>332</v>
      </c>
      <c r="M259" s="25" t="s">
        <v>333</v>
      </c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ht="18.0" customHeight="1">
      <c r="A260" s="27">
        <v>305.0</v>
      </c>
      <c r="B260" s="28" t="s">
        <v>563</v>
      </c>
      <c r="C260" s="28">
        <v>230505.0</v>
      </c>
      <c r="D260" s="28" t="s">
        <v>590</v>
      </c>
      <c r="E260" s="28" t="s">
        <v>591</v>
      </c>
      <c r="F260" s="28">
        <v>2.0</v>
      </c>
      <c r="G260" s="28" t="s">
        <v>41</v>
      </c>
      <c r="H260" s="28" t="s">
        <v>130</v>
      </c>
      <c r="I260" s="28" t="s">
        <v>53</v>
      </c>
      <c r="J260" s="28">
        <v>511061.0</v>
      </c>
      <c r="K260" s="29" t="s">
        <v>54</v>
      </c>
      <c r="L260" s="26"/>
      <c r="M260" s="25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ht="18.0" customHeight="1">
      <c r="A261" s="27">
        <v>305.0</v>
      </c>
      <c r="B261" s="28" t="s">
        <v>563</v>
      </c>
      <c r="C261" s="28">
        <v>230508.0</v>
      </c>
      <c r="D261" s="28" t="s">
        <v>592</v>
      </c>
      <c r="E261" s="28" t="s">
        <v>593</v>
      </c>
      <c r="F261" s="28">
        <v>2.0</v>
      </c>
      <c r="G261" s="28" t="s">
        <v>44</v>
      </c>
      <c r="H261" s="28" t="s">
        <v>119</v>
      </c>
      <c r="I261" s="28" t="s">
        <v>53</v>
      </c>
      <c r="J261" s="28">
        <v>511059.0</v>
      </c>
      <c r="K261" s="29" t="s">
        <v>54</v>
      </c>
      <c r="L261" s="26"/>
      <c r="M261" s="25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ht="18.0" customHeight="1">
      <c r="A262" s="27">
        <v>305.0</v>
      </c>
      <c r="B262" s="28" t="s">
        <v>563</v>
      </c>
      <c r="C262" s="28">
        <v>230510.0</v>
      </c>
      <c r="D262" s="28" t="s">
        <v>594</v>
      </c>
      <c r="E262" s="28" t="s">
        <v>595</v>
      </c>
      <c r="F262" s="28">
        <v>2.0</v>
      </c>
      <c r="G262" s="28" t="s">
        <v>44</v>
      </c>
      <c r="H262" s="28" t="s">
        <v>119</v>
      </c>
      <c r="I262" s="28" t="s">
        <v>53</v>
      </c>
      <c r="J262" s="28">
        <v>530332.0</v>
      </c>
      <c r="K262" s="29" t="s">
        <v>54</v>
      </c>
      <c r="L262" s="26"/>
      <c r="M262" s="25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ht="18.0" customHeight="1">
      <c r="A263" s="27">
        <v>305.0</v>
      </c>
      <c r="B263" s="28" t="s">
        <v>563</v>
      </c>
      <c r="C263" s="28">
        <v>230514.0</v>
      </c>
      <c r="D263" s="28" t="s">
        <v>596</v>
      </c>
      <c r="E263" s="28" t="s">
        <v>597</v>
      </c>
      <c r="F263" s="28">
        <v>2.0</v>
      </c>
      <c r="G263" s="28" t="s">
        <v>44</v>
      </c>
      <c r="H263" s="28" t="s">
        <v>119</v>
      </c>
      <c r="I263" s="28" t="s">
        <v>53</v>
      </c>
      <c r="J263" s="28">
        <v>518938.0</v>
      </c>
      <c r="K263" s="29" t="s">
        <v>54</v>
      </c>
      <c r="L263" s="26"/>
      <c r="M263" s="25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ht="18.0" customHeight="1">
      <c r="A264" s="27">
        <v>305.0</v>
      </c>
      <c r="B264" s="28" t="s">
        <v>563</v>
      </c>
      <c r="C264" s="28">
        <v>130503.0</v>
      </c>
      <c r="D264" s="28" t="s">
        <v>598</v>
      </c>
      <c r="E264" s="28" t="s">
        <v>599</v>
      </c>
      <c r="F264" s="28">
        <v>3.0</v>
      </c>
      <c r="G264" s="28" t="s">
        <v>41</v>
      </c>
      <c r="H264" s="28" t="s">
        <v>130</v>
      </c>
      <c r="I264" s="28" t="s">
        <v>53</v>
      </c>
      <c r="J264" s="28">
        <v>518937.0</v>
      </c>
      <c r="K264" s="29" t="s">
        <v>54</v>
      </c>
      <c r="L264" s="26"/>
      <c r="M264" s="25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ht="18.0" customHeight="1">
      <c r="A265" s="27">
        <v>305.0</v>
      </c>
      <c r="B265" s="28" t="s">
        <v>563</v>
      </c>
      <c r="C265" s="28">
        <v>130504.0</v>
      </c>
      <c r="D265" s="28" t="s">
        <v>600</v>
      </c>
      <c r="E265" s="28" t="s">
        <v>601</v>
      </c>
      <c r="F265" s="28">
        <v>3.0</v>
      </c>
      <c r="G265" s="28" t="s">
        <v>44</v>
      </c>
      <c r="H265" s="28" t="s">
        <v>119</v>
      </c>
      <c r="I265" s="28" t="s">
        <v>53</v>
      </c>
      <c r="J265" s="28">
        <v>518933.0</v>
      </c>
      <c r="K265" s="29" t="s">
        <v>54</v>
      </c>
      <c r="L265" s="26"/>
      <c r="M265" s="25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ht="18.0" customHeight="1">
      <c r="A266" s="27">
        <v>305.0</v>
      </c>
      <c r="B266" s="28" t="s">
        <v>563</v>
      </c>
      <c r="C266" s="28">
        <v>130506.0</v>
      </c>
      <c r="D266" s="28" t="s">
        <v>602</v>
      </c>
      <c r="E266" s="28" t="s">
        <v>603</v>
      </c>
      <c r="F266" s="28">
        <v>3.0</v>
      </c>
      <c r="G266" s="28" t="s">
        <v>41</v>
      </c>
      <c r="H266" s="28" t="s">
        <v>130</v>
      </c>
      <c r="I266" s="28" t="s">
        <v>53</v>
      </c>
      <c r="J266" s="28">
        <v>511060.0</v>
      </c>
      <c r="K266" s="29" t="s">
        <v>54</v>
      </c>
      <c r="L266" s="26"/>
      <c r="M266" s="25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ht="18.0" customHeight="1">
      <c r="A267" s="27">
        <v>305.0</v>
      </c>
      <c r="B267" s="28" t="s">
        <v>563</v>
      </c>
      <c r="C267" s="28">
        <v>130507.0</v>
      </c>
      <c r="D267" s="28" t="s">
        <v>604</v>
      </c>
      <c r="E267" s="28" t="s">
        <v>605</v>
      </c>
      <c r="F267" s="28">
        <v>3.0</v>
      </c>
      <c r="G267" s="28" t="s">
        <v>41</v>
      </c>
      <c r="H267" s="28" t="s">
        <v>130</v>
      </c>
      <c r="I267" s="28" t="s">
        <v>53</v>
      </c>
      <c r="J267" s="28">
        <v>530330.0</v>
      </c>
      <c r="K267" s="29" t="s">
        <v>54</v>
      </c>
      <c r="L267" s="26"/>
      <c r="M267" s="25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ht="18.0" customHeight="1">
      <c r="A268" s="27">
        <v>305.0</v>
      </c>
      <c r="B268" s="28" t="s">
        <v>563</v>
      </c>
      <c r="C268" s="28">
        <v>130508.0</v>
      </c>
      <c r="D268" s="28" t="s">
        <v>606</v>
      </c>
      <c r="E268" s="28" t="s">
        <v>607</v>
      </c>
      <c r="F268" s="28">
        <v>3.0</v>
      </c>
      <c r="G268" s="28" t="s">
        <v>41</v>
      </c>
      <c r="H268" s="28" t="s">
        <v>130</v>
      </c>
      <c r="I268" s="28" t="s">
        <v>53</v>
      </c>
      <c r="J268" s="28">
        <v>518931.0</v>
      </c>
      <c r="K268" s="29" t="s">
        <v>54</v>
      </c>
      <c r="L268" s="26"/>
      <c r="M268" s="25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ht="18.0" customHeight="1">
      <c r="A269" s="27">
        <v>305.0</v>
      </c>
      <c r="B269" s="28" t="s">
        <v>563</v>
      </c>
      <c r="C269" s="28">
        <v>130509.0</v>
      </c>
      <c r="D269" s="28" t="s">
        <v>608</v>
      </c>
      <c r="E269" s="28" t="s">
        <v>609</v>
      </c>
      <c r="F269" s="28">
        <v>3.0</v>
      </c>
      <c r="G269" s="28" t="s">
        <v>41</v>
      </c>
      <c r="H269" s="28" t="s">
        <v>130</v>
      </c>
      <c r="I269" s="28" t="s">
        <v>53</v>
      </c>
      <c r="J269" s="28">
        <v>518934.0</v>
      </c>
      <c r="K269" s="29" t="s">
        <v>54</v>
      </c>
      <c r="L269" s="26"/>
      <c r="M269" s="25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ht="18.0" customHeight="1">
      <c r="A270" s="27">
        <v>305.0</v>
      </c>
      <c r="B270" s="28" t="s">
        <v>563</v>
      </c>
      <c r="C270" s="28">
        <v>130512.0</v>
      </c>
      <c r="D270" s="28" t="s">
        <v>610</v>
      </c>
      <c r="E270" s="28" t="s">
        <v>611</v>
      </c>
      <c r="F270" s="28">
        <v>3.0</v>
      </c>
      <c r="G270" s="28" t="s">
        <v>41</v>
      </c>
      <c r="H270" s="28" t="s">
        <v>130</v>
      </c>
      <c r="I270" s="28" t="s">
        <v>53</v>
      </c>
      <c r="J270" s="28">
        <v>518939.0</v>
      </c>
      <c r="K270" s="29" t="s">
        <v>54</v>
      </c>
      <c r="L270" s="26"/>
      <c r="M270" s="25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ht="18.0" customHeight="1">
      <c r="A271" s="27">
        <v>305.0</v>
      </c>
      <c r="B271" s="28" t="s">
        <v>563</v>
      </c>
      <c r="C271" s="28">
        <v>130513.0</v>
      </c>
      <c r="D271" s="28" t="s">
        <v>612</v>
      </c>
      <c r="E271" s="28" t="s">
        <v>613</v>
      </c>
      <c r="F271" s="28">
        <v>3.0</v>
      </c>
      <c r="G271" s="28" t="s">
        <v>41</v>
      </c>
      <c r="H271" s="28" t="s">
        <v>130</v>
      </c>
      <c r="I271" s="28" t="s">
        <v>53</v>
      </c>
      <c r="J271" s="28">
        <v>518941.0</v>
      </c>
      <c r="K271" s="29" t="s">
        <v>54</v>
      </c>
      <c r="L271" s="26"/>
      <c r="M271" s="25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ht="18.0" customHeight="1">
      <c r="A272" s="27">
        <v>305.0</v>
      </c>
      <c r="B272" s="28" t="s">
        <v>563</v>
      </c>
      <c r="C272" s="28">
        <v>30502.0</v>
      </c>
      <c r="D272" s="28" t="s">
        <v>614</v>
      </c>
      <c r="E272" s="28" t="s">
        <v>615</v>
      </c>
      <c r="F272" s="28">
        <v>4.0</v>
      </c>
      <c r="G272" s="28" t="s">
        <v>41</v>
      </c>
      <c r="H272" s="28" t="s">
        <v>130</v>
      </c>
      <c r="I272" s="28" t="s">
        <v>53</v>
      </c>
      <c r="J272" s="28">
        <v>530331.0</v>
      </c>
      <c r="K272" s="29" t="s">
        <v>54</v>
      </c>
      <c r="L272" s="26"/>
      <c r="M272" s="25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ht="18.0" customHeight="1">
      <c r="A273" s="27">
        <v>305.0</v>
      </c>
      <c r="B273" s="28" t="s">
        <v>563</v>
      </c>
      <c r="C273" s="28">
        <v>30504.0</v>
      </c>
      <c r="D273" s="28" t="s">
        <v>616</v>
      </c>
      <c r="E273" s="28" t="s">
        <v>617</v>
      </c>
      <c r="F273" s="28">
        <v>4.0</v>
      </c>
      <c r="G273" s="28" t="s">
        <v>41</v>
      </c>
      <c r="H273" s="28" t="s">
        <v>130</v>
      </c>
      <c r="I273" s="28" t="s">
        <v>53</v>
      </c>
      <c r="J273" s="28">
        <v>530336.0</v>
      </c>
      <c r="K273" s="29" t="s">
        <v>54</v>
      </c>
      <c r="L273" s="26"/>
      <c r="M273" s="25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ht="18.0" customHeight="1">
      <c r="A274" s="27">
        <v>305.0</v>
      </c>
      <c r="B274" s="28" t="s">
        <v>563</v>
      </c>
      <c r="C274" s="28">
        <v>30505.0</v>
      </c>
      <c r="D274" s="28" t="s">
        <v>618</v>
      </c>
      <c r="E274" s="28" t="s">
        <v>619</v>
      </c>
      <c r="F274" s="28">
        <v>4.0</v>
      </c>
      <c r="G274" s="28" t="s">
        <v>41</v>
      </c>
      <c r="H274" s="28" t="s">
        <v>130</v>
      </c>
      <c r="I274" s="28" t="s">
        <v>53</v>
      </c>
      <c r="J274" s="28">
        <v>530333.0</v>
      </c>
      <c r="K274" s="29" t="s">
        <v>54</v>
      </c>
      <c r="L274" s="26"/>
      <c r="M274" s="25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ht="18.0" customHeight="1">
      <c r="A275" s="27">
        <v>305.0</v>
      </c>
      <c r="B275" s="28" t="s">
        <v>563</v>
      </c>
      <c r="C275" s="28">
        <v>30506.0</v>
      </c>
      <c r="D275" s="28" t="s">
        <v>620</v>
      </c>
      <c r="E275" s="28" t="s">
        <v>621</v>
      </c>
      <c r="F275" s="28">
        <v>4.0</v>
      </c>
      <c r="G275" s="28" t="s">
        <v>44</v>
      </c>
      <c r="H275" s="28" t="s">
        <v>119</v>
      </c>
      <c r="I275" s="28" t="s">
        <v>53</v>
      </c>
      <c r="J275" s="28">
        <v>518936.0</v>
      </c>
      <c r="K275" s="29" t="s">
        <v>54</v>
      </c>
      <c r="L275" s="26"/>
      <c r="M275" s="25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ht="18.0" customHeight="1">
      <c r="A276" s="27">
        <v>307.0</v>
      </c>
      <c r="B276" s="28" t="s">
        <v>622</v>
      </c>
      <c r="C276" s="28">
        <v>330702.0</v>
      </c>
      <c r="D276" s="28" t="s">
        <v>623</v>
      </c>
      <c r="E276" s="28" t="s">
        <v>624</v>
      </c>
      <c r="F276" s="28">
        <v>1.0</v>
      </c>
      <c r="G276" s="28" t="s">
        <v>41</v>
      </c>
      <c r="H276" s="28" t="s">
        <v>52</v>
      </c>
      <c r="I276" s="28" t="s">
        <v>53</v>
      </c>
      <c r="J276" s="28">
        <v>528130.0</v>
      </c>
      <c r="K276" s="29" t="s">
        <v>54</v>
      </c>
      <c r="L276" s="26"/>
      <c r="M276" s="25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ht="18.0" customHeight="1">
      <c r="A277" s="27">
        <v>307.0</v>
      </c>
      <c r="B277" s="28" t="s">
        <v>622</v>
      </c>
      <c r="C277" s="28">
        <v>330703.0</v>
      </c>
      <c r="D277" s="28" t="s">
        <v>625</v>
      </c>
      <c r="E277" s="28" t="s">
        <v>626</v>
      </c>
      <c r="F277" s="28">
        <v>1.0</v>
      </c>
      <c r="G277" s="28" t="s">
        <v>41</v>
      </c>
      <c r="H277" s="28" t="s">
        <v>52</v>
      </c>
      <c r="I277" s="28" t="s">
        <v>53</v>
      </c>
      <c r="J277" s="28">
        <v>519046.0</v>
      </c>
      <c r="K277" s="29" t="s">
        <v>54</v>
      </c>
      <c r="L277" s="26"/>
      <c r="M277" s="25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ht="18.0" customHeight="1">
      <c r="A278" s="27">
        <v>307.0</v>
      </c>
      <c r="B278" s="28" t="s">
        <v>622</v>
      </c>
      <c r="C278" s="28">
        <v>330704.0</v>
      </c>
      <c r="D278" s="28" t="s">
        <v>627</v>
      </c>
      <c r="E278" s="28" t="s">
        <v>628</v>
      </c>
      <c r="F278" s="28">
        <v>1.0</v>
      </c>
      <c r="G278" s="28" t="s">
        <v>41</v>
      </c>
      <c r="H278" s="28" t="s">
        <v>57</v>
      </c>
      <c r="I278" s="28" t="s">
        <v>57</v>
      </c>
      <c r="J278" s="28"/>
      <c r="K278" s="29" t="s">
        <v>58</v>
      </c>
      <c r="L278" s="26"/>
      <c r="M278" s="25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ht="18.0" customHeight="1">
      <c r="A279" s="27">
        <v>307.0</v>
      </c>
      <c r="B279" s="28" t="s">
        <v>622</v>
      </c>
      <c r="C279" s="28">
        <v>330705.0</v>
      </c>
      <c r="D279" s="28" t="s">
        <v>629</v>
      </c>
      <c r="E279" s="28" t="s">
        <v>630</v>
      </c>
      <c r="F279" s="28">
        <v>1.0</v>
      </c>
      <c r="G279" s="28" t="s">
        <v>41</v>
      </c>
      <c r="H279" s="28" t="s">
        <v>52</v>
      </c>
      <c r="I279" s="28" t="s">
        <v>53</v>
      </c>
      <c r="J279" s="28">
        <v>519052.0</v>
      </c>
      <c r="K279" s="29" t="s">
        <v>54</v>
      </c>
      <c r="L279" s="26"/>
      <c r="M279" s="25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ht="18.0" customHeight="1">
      <c r="A280" s="27">
        <v>307.0</v>
      </c>
      <c r="B280" s="28" t="s">
        <v>622</v>
      </c>
      <c r="C280" s="28">
        <v>330706.0</v>
      </c>
      <c r="D280" s="28" t="s">
        <v>631</v>
      </c>
      <c r="E280" s="28" t="s">
        <v>632</v>
      </c>
      <c r="F280" s="28">
        <v>1.0</v>
      </c>
      <c r="G280" s="28" t="s">
        <v>44</v>
      </c>
      <c r="H280" s="28" t="s">
        <v>61</v>
      </c>
      <c r="I280" s="28" t="s">
        <v>53</v>
      </c>
      <c r="J280" s="28">
        <v>519053.0</v>
      </c>
      <c r="K280" s="29" t="s">
        <v>54</v>
      </c>
      <c r="L280" s="26"/>
      <c r="M280" s="25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ht="18.0" customHeight="1">
      <c r="A281" s="27">
        <v>307.0</v>
      </c>
      <c r="B281" s="28" t="s">
        <v>622</v>
      </c>
      <c r="C281" s="28">
        <v>330707.0</v>
      </c>
      <c r="D281" s="28" t="s">
        <v>633</v>
      </c>
      <c r="E281" s="28" t="s">
        <v>634</v>
      </c>
      <c r="F281" s="28">
        <v>1.0</v>
      </c>
      <c r="G281" s="28" t="s">
        <v>44</v>
      </c>
      <c r="H281" s="28" t="s">
        <v>61</v>
      </c>
      <c r="I281" s="28" t="s">
        <v>53</v>
      </c>
      <c r="J281" s="28">
        <v>519054.0</v>
      </c>
      <c r="K281" s="29" t="s">
        <v>54</v>
      </c>
      <c r="L281" s="26"/>
      <c r="M281" s="25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ht="18.0" customHeight="1">
      <c r="A282" s="27">
        <v>307.0</v>
      </c>
      <c r="B282" s="28" t="s">
        <v>622</v>
      </c>
      <c r="C282" s="28">
        <v>330708.0</v>
      </c>
      <c r="D282" s="28" t="s">
        <v>635</v>
      </c>
      <c r="E282" s="28" t="s">
        <v>636</v>
      </c>
      <c r="F282" s="28">
        <v>1.0</v>
      </c>
      <c r="G282" s="28" t="s">
        <v>44</v>
      </c>
      <c r="H282" s="28" t="s">
        <v>61</v>
      </c>
      <c r="I282" s="28" t="s">
        <v>53</v>
      </c>
      <c r="J282" s="28"/>
      <c r="K282" s="29" t="s">
        <v>54</v>
      </c>
      <c r="L282" s="26"/>
      <c r="M282" s="25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ht="18.0" customHeight="1">
      <c r="A283" s="27">
        <v>307.0</v>
      </c>
      <c r="B283" s="28" t="s">
        <v>622</v>
      </c>
      <c r="C283" s="28">
        <v>330709.0</v>
      </c>
      <c r="D283" s="28" t="s">
        <v>637</v>
      </c>
      <c r="E283" s="28" t="s">
        <v>638</v>
      </c>
      <c r="F283" s="28">
        <v>1.0</v>
      </c>
      <c r="G283" s="28" t="s">
        <v>41</v>
      </c>
      <c r="H283" s="28" t="s">
        <v>52</v>
      </c>
      <c r="I283" s="28" t="s">
        <v>53</v>
      </c>
      <c r="J283" s="28"/>
      <c r="K283" s="29" t="s">
        <v>54</v>
      </c>
      <c r="L283" s="26"/>
      <c r="M283" s="25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ht="18.0" customHeight="1">
      <c r="A284" s="27">
        <v>307.0</v>
      </c>
      <c r="B284" s="28" t="s">
        <v>622</v>
      </c>
      <c r="C284" s="28">
        <v>330710.0</v>
      </c>
      <c r="D284" s="28" t="s">
        <v>639</v>
      </c>
      <c r="E284" s="28" t="s">
        <v>640</v>
      </c>
      <c r="F284" s="28">
        <v>1.0</v>
      </c>
      <c r="G284" s="28" t="s">
        <v>41</v>
      </c>
      <c r="H284" s="28" t="s">
        <v>57</v>
      </c>
      <c r="I284" s="28" t="s">
        <v>57</v>
      </c>
      <c r="J284" s="28"/>
      <c r="K284" s="29" t="s">
        <v>58</v>
      </c>
      <c r="L284" s="26"/>
      <c r="M284" s="25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ht="18.0" customHeight="1">
      <c r="A285" s="27">
        <v>307.0</v>
      </c>
      <c r="B285" s="28" t="s">
        <v>622</v>
      </c>
      <c r="C285" s="28">
        <v>330711.0</v>
      </c>
      <c r="D285" s="28" t="s">
        <v>641</v>
      </c>
      <c r="E285" s="28" t="s">
        <v>642</v>
      </c>
      <c r="F285" s="28">
        <v>1.0</v>
      </c>
      <c r="G285" s="28" t="s">
        <v>41</v>
      </c>
      <c r="H285" s="28" t="s">
        <v>52</v>
      </c>
      <c r="I285" s="28" t="s">
        <v>53</v>
      </c>
      <c r="J285" s="28">
        <v>519055.0</v>
      </c>
      <c r="K285" s="29" t="s">
        <v>54</v>
      </c>
      <c r="L285" s="26"/>
      <c r="M285" s="25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ht="18.0" customHeight="1">
      <c r="A286" s="27">
        <v>307.0</v>
      </c>
      <c r="B286" s="28" t="s">
        <v>622</v>
      </c>
      <c r="C286" s="28">
        <v>330712.0</v>
      </c>
      <c r="D286" s="28" t="s">
        <v>643</v>
      </c>
      <c r="E286" s="28" t="s">
        <v>644</v>
      </c>
      <c r="F286" s="28">
        <v>1.0</v>
      </c>
      <c r="G286" s="28" t="s">
        <v>41</v>
      </c>
      <c r="H286" s="28" t="s">
        <v>52</v>
      </c>
      <c r="I286" s="28" t="s">
        <v>53</v>
      </c>
      <c r="J286" s="28">
        <v>524628.0</v>
      </c>
      <c r="K286" s="29" t="s">
        <v>54</v>
      </c>
      <c r="L286" s="26"/>
      <c r="M286" s="25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ht="18.0" customHeight="1">
      <c r="A287" s="27">
        <v>307.0</v>
      </c>
      <c r="B287" s="28" t="s">
        <v>622</v>
      </c>
      <c r="C287" s="28">
        <v>330713.0</v>
      </c>
      <c r="D287" s="28" t="s">
        <v>645</v>
      </c>
      <c r="E287" s="28" t="s">
        <v>646</v>
      </c>
      <c r="F287" s="28">
        <v>1.0</v>
      </c>
      <c r="G287" s="28" t="s">
        <v>41</v>
      </c>
      <c r="H287" s="28" t="s">
        <v>52</v>
      </c>
      <c r="I287" s="28" t="s">
        <v>53</v>
      </c>
      <c r="J287" s="28">
        <v>524629.0</v>
      </c>
      <c r="K287" s="29" t="s">
        <v>54</v>
      </c>
      <c r="L287" s="26"/>
      <c r="M287" s="25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ht="18.0" customHeight="1">
      <c r="A288" s="27">
        <v>307.0</v>
      </c>
      <c r="B288" s="28" t="s">
        <v>622</v>
      </c>
      <c r="C288" s="28">
        <v>330714.0</v>
      </c>
      <c r="D288" s="28" t="s">
        <v>647</v>
      </c>
      <c r="E288" s="28" t="s">
        <v>648</v>
      </c>
      <c r="F288" s="28">
        <v>1.0</v>
      </c>
      <c r="G288" s="28" t="s">
        <v>41</v>
      </c>
      <c r="H288" s="28" t="s">
        <v>52</v>
      </c>
      <c r="I288" s="28" t="s">
        <v>53</v>
      </c>
      <c r="J288" s="28">
        <v>524630.0</v>
      </c>
      <c r="K288" s="29" t="s">
        <v>54</v>
      </c>
      <c r="L288" s="26"/>
      <c r="M288" s="25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ht="18.0" customHeight="1">
      <c r="A289" s="27">
        <v>307.0</v>
      </c>
      <c r="B289" s="28" t="s">
        <v>622</v>
      </c>
      <c r="C289" s="28">
        <v>330715.0</v>
      </c>
      <c r="D289" s="28" t="s">
        <v>649</v>
      </c>
      <c r="E289" s="28" t="s">
        <v>650</v>
      </c>
      <c r="F289" s="28">
        <v>1.0</v>
      </c>
      <c r="G289" s="28" t="s">
        <v>41</v>
      </c>
      <c r="H289" s="28" t="s">
        <v>52</v>
      </c>
      <c r="I289" s="28" t="s">
        <v>53</v>
      </c>
      <c r="J289" s="28">
        <v>524631.0</v>
      </c>
      <c r="K289" s="29" t="s">
        <v>54</v>
      </c>
      <c r="L289" s="26"/>
      <c r="M289" s="25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ht="18.0" customHeight="1">
      <c r="A290" s="27">
        <v>307.0</v>
      </c>
      <c r="B290" s="28" t="s">
        <v>622</v>
      </c>
      <c r="C290" s="28">
        <v>330716.0</v>
      </c>
      <c r="D290" s="28" t="s">
        <v>651</v>
      </c>
      <c r="E290" s="28" t="s">
        <v>652</v>
      </c>
      <c r="F290" s="28">
        <v>1.0</v>
      </c>
      <c r="G290" s="28" t="s">
        <v>41</v>
      </c>
      <c r="H290" s="28" t="s">
        <v>57</v>
      </c>
      <c r="I290" s="28" t="s">
        <v>57</v>
      </c>
      <c r="J290" s="28"/>
      <c r="K290" s="29" t="s">
        <v>58</v>
      </c>
      <c r="L290" s="26"/>
      <c r="M290" s="25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ht="18.0" customHeight="1">
      <c r="A291" s="27">
        <v>307.0</v>
      </c>
      <c r="B291" s="28" t="s">
        <v>622</v>
      </c>
      <c r="C291" s="28">
        <v>330717.0</v>
      </c>
      <c r="D291" s="28" t="s">
        <v>653</v>
      </c>
      <c r="E291" s="28" t="s">
        <v>654</v>
      </c>
      <c r="F291" s="28">
        <v>1.0</v>
      </c>
      <c r="G291" s="28" t="s">
        <v>41</v>
      </c>
      <c r="H291" s="28" t="s">
        <v>57</v>
      </c>
      <c r="I291" s="28" t="s">
        <v>57</v>
      </c>
      <c r="J291" s="28"/>
      <c r="K291" s="29" t="s">
        <v>58</v>
      </c>
      <c r="L291" s="26"/>
      <c r="M291" s="25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ht="18.0" customHeight="1">
      <c r="A292" s="27">
        <v>307.0</v>
      </c>
      <c r="B292" s="28" t="s">
        <v>622</v>
      </c>
      <c r="C292" s="28">
        <v>330718.0</v>
      </c>
      <c r="D292" s="28" t="s">
        <v>655</v>
      </c>
      <c r="E292" s="28" t="s">
        <v>656</v>
      </c>
      <c r="F292" s="28">
        <v>1.0</v>
      </c>
      <c r="G292" s="28" t="s">
        <v>41</v>
      </c>
      <c r="H292" s="28" t="s">
        <v>52</v>
      </c>
      <c r="I292" s="28" t="s">
        <v>53</v>
      </c>
      <c r="J292" s="28">
        <v>524632.0</v>
      </c>
      <c r="K292" s="29" t="s">
        <v>54</v>
      </c>
      <c r="L292" s="26"/>
      <c r="M292" s="25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ht="18.0" customHeight="1">
      <c r="A293" s="27">
        <v>307.0</v>
      </c>
      <c r="B293" s="28" t="s">
        <v>622</v>
      </c>
      <c r="C293" s="28">
        <v>330719.0</v>
      </c>
      <c r="D293" s="28" t="s">
        <v>657</v>
      </c>
      <c r="E293" s="28" t="s">
        <v>658</v>
      </c>
      <c r="F293" s="28">
        <v>1.0</v>
      </c>
      <c r="G293" s="28" t="s">
        <v>41</v>
      </c>
      <c r="H293" s="28" t="s">
        <v>57</v>
      </c>
      <c r="I293" s="28" t="s">
        <v>57</v>
      </c>
      <c r="J293" s="28"/>
      <c r="K293" s="29" t="s">
        <v>58</v>
      </c>
      <c r="L293" s="26"/>
      <c r="M293" s="25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ht="18.0" customHeight="1">
      <c r="A294" s="27">
        <v>307.0</v>
      </c>
      <c r="B294" s="28" t="s">
        <v>622</v>
      </c>
      <c r="C294" s="28">
        <v>330720.0</v>
      </c>
      <c r="D294" s="28" t="s">
        <v>659</v>
      </c>
      <c r="E294" s="28" t="s">
        <v>660</v>
      </c>
      <c r="F294" s="28">
        <v>1.0</v>
      </c>
      <c r="G294" s="28" t="s">
        <v>44</v>
      </c>
      <c r="H294" s="28" t="s">
        <v>57</v>
      </c>
      <c r="I294" s="28" t="s">
        <v>53</v>
      </c>
      <c r="J294" s="28"/>
      <c r="K294" s="29" t="s">
        <v>58</v>
      </c>
      <c r="L294" s="33">
        <v>45366.0</v>
      </c>
      <c r="M294" s="25" t="s">
        <v>333</v>
      </c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ht="18.0" customHeight="1">
      <c r="A295" s="27">
        <v>307.0</v>
      </c>
      <c r="B295" s="28" t="s">
        <v>622</v>
      </c>
      <c r="C295" s="28">
        <v>330721.0</v>
      </c>
      <c r="D295" s="28" t="s">
        <v>661</v>
      </c>
      <c r="E295" s="28" t="s">
        <v>662</v>
      </c>
      <c r="F295" s="28">
        <v>1.0</v>
      </c>
      <c r="G295" s="28" t="s">
        <v>44</v>
      </c>
      <c r="H295" s="28" t="s">
        <v>57</v>
      </c>
      <c r="I295" s="28" t="s">
        <v>57</v>
      </c>
      <c r="J295" s="28"/>
      <c r="K295" s="29" t="s">
        <v>58</v>
      </c>
      <c r="L295" s="26"/>
      <c r="M295" s="25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ht="18.0" customHeight="1">
      <c r="A296" s="27">
        <v>307.0</v>
      </c>
      <c r="B296" s="28" t="s">
        <v>622</v>
      </c>
      <c r="C296" s="28">
        <v>330722.0</v>
      </c>
      <c r="D296" s="28" t="s">
        <v>663</v>
      </c>
      <c r="E296" s="28" t="s">
        <v>664</v>
      </c>
      <c r="F296" s="28">
        <v>1.0</v>
      </c>
      <c r="G296" s="28" t="s">
        <v>41</v>
      </c>
      <c r="H296" s="28" t="s">
        <v>52</v>
      </c>
      <c r="I296" s="28" t="s">
        <v>53</v>
      </c>
      <c r="J296" s="28">
        <v>524633.0</v>
      </c>
      <c r="K296" s="29" t="s">
        <v>54</v>
      </c>
      <c r="L296" s="26"/>
      <c r="M296" s="25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ht="18.0" customHeight="1">
      <c r="A297" s="27">
        <v>307.0</v>
      </c>
      <c r="B297" s="28" t="s">
        <v>622</v>
      </c>
      <c r="C297" s="28">
        <v>330723.0</v>
      </c>
      <c r="D297" s="28" t="s">
        <v>665</v>
      </c>
      <c r="E297" s="28" t="s">
        <v>666</v>
      </c>
      <c r="F297" s="28">
        <v>1.0</v>
      </c>
      <c r="G297" s="28" t="s">
        <v>44</v>
      </c>
      <c r="H297" s="28" t="s">
        <v>61</v>
      </c>
      <c r="I297" s="28" t="s">
        <v>53</v>
      </c>
      <c r="J297" s="28"/>
      <c r="K297" s="29" t="s">
        <v>54</v>
      </c>
      <c r="L297" s="26"/>
      <c r="M297" s="25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ht="18.0" customHeight="1">
      <c r="A298" s="27">
        <v>307.0</v>
      </c>
      <c r="B298" s="28" t="s">
        <v>622</v>
      </c>
      <c r="C298" s="28">
        <v>330724.0</v>
      </c>
      <c r="D298" s="28" t="s">
        <v>667</v>
      </c>
      <c r="E298" s="28" t="s">
        <v>668</v>
      </c>
      <c r="F298" s="28">
        <v>1.0</v>
      </c>
      <c r="G298" s="28" t="s">
        <v>41</v>
      </c>
      <c r="H298" s="28" t="s">
        <v>57</v>
      </c>
      <c r="I298" s="28" t="s">
        <v>57</v>
      </c>
      <c r="J298" s="28"/>
      <c r="K298" s="29" t="s">
        <v>58</v>
      </c>
      <c r="L298" s="26"/>
      <c r="M298" s="25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ht="18.0" customHeight="1">
      <c r="A299" s="27">
        <v>307.0</v>
      </c>
      <c r="B299" s="28" t="s">
        <v>622</v>
      </c>
      <c r="C299" s="28">
        <v>330725.0</v>
      </c>
      <c r="D299" s="28" t="s">
        <v>669</v>
      </c>
      <c r="E299" s="28" t="s">
        <v>670</v>
      </c>
      <c r="F299" s="28">
        <v>1.0</v>
      </c>
      <c r="G299" s="28" t="s">
        <v>41</v>
      </c>
      <c r="H299" s="28" t="s">
        <v>52</v>
      </c>
      <c r="I299" s="28" t="s">
        <v>53</v>
      </c>
      <c r="J299" s="28"/>
      <c r="K299" s="29" t="s">
        <v>54</v>
      </c>
      <c r="L299" s="26"/>
      <c r="M299" s="25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ht="18.0" customHeight="1">
      <c r="A300" s="27">
        <v>307.0</v>
      </c>
      <c r="B300" s="28" t="s">
        <v>622</v>
      </c>
      <c r="C300" s="28">
        <v>330726.0</v>
      </c>
      <c r="D300" s="28" t="s">
        <v>671</v>
      </c>
      <c r="E300" s="28" t="s">
        <v>672</v>
      </c>
      <c r="F300" s="28">
        <v>1.0</v>
      </c>
      <c r="G300" s="28" t="s">
        <v>41</v>
      </c>
      <c r="H300" s="28" t="s">
        <v>57</v>
      </c>
      <c r="I300" s="28" t="s">
        <v>57</v>
      </c>
      <c r="J300" s="28"/>
      <c r="K300" s="29" t="s">
        <v>58</v>
      </c>
      <c r="L300" s="26"/>
      <c r="M300" s="25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ht="18.0" customHeight="1">
      <c r="A301" s="27">
        <v>307.0</v>
      </c>
      <c r="B301" s="28" t="s">
        <v>622</v>
      </c>
      <c r="C301" s="28">
        <v>330727.0</v>
      </c>
      <c r="D301" s="28" t="s">
        <v>673</v>
      </c>
      <c r="E301" s="28" t="s">
        <v>674</v>
      </c>
      <c r="F301" s="28">
        <v>1.0</v>
      </c>
      <c r="G301" s="28" t="s">
        <v>41</v>
      </c>
      <c r="H301" s="28" t="s">
        <v>57</v>
      </c>
      <c r="I301" s="28" t="s">
        <v>57</v>
      </c>
      <c r="J301" s="28"/>
      <c r="K301" s="29" t="s">
        <v>58</v>
      </c>
      <c r="L301" s="26"/>
      <c r="M301" s="25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ht="18.0" customHeight="1">
      <c r="A302" s="27">
        <v>307.0</v>
      </c>
      <c r="B302" s="28" t="s">
        <v>622</v>
      </c>
      <c r="C302" s="28">
        <v>230701.0</v>
      </c>
      <c r="D302" s="28" t="s">
        <v>675</v>
      </c>
      <c r="E302" s="28" t="s">
        <v>676</v>
      </c>
      <c r="F302" s="28">
        <v>2.0</v>
      </c>
      <c r="G302" s="28" t="s">
        <v>41</v>
      </c>
      <c r="H302" s="28" t="s">
        <v>130</v>
      </c>
      <c r="I302" s="28" t="s">
        <v>53</v>
      </c>
      <c r="J302" s="28"/>
      <c r="K302" s="29" t="s">
        <v>54</v>
      </c>
      <c r="L302" s="26"/>
      <c r="M302" s="25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ht="18.0" customHeight="1">
      <c r="A303" s="27">
        <v>307.0</v>
      </c>
      <c r="B303" s="28" t="s">
        <v>622</v>
      </c>
      <c r="C303" s="28">
        <v>230702.0</v>
      </c>
      <c r="D303" s="28" t="s">
        <v>677</v>
      </c>
      <c r="E303" s="28" t="s">
        <v>678</v>
      </c>
      <c r="F303" s="28">
        <v>2.0</v>
      </c>
      <c r="G303" s="28" t="s">
        <v>41</v>
      </c>
      <c r="H303" s="28" t="s">
        <v>130</v>
      </c>
      <c r="I303" s="28" t="s">
        <v>53</v>
      </c>
      <c r="J303" s="28">
        <v>524634.0</v>
      </c>
      <c r="K303" s="29" t="s">
        <v>54</v>
      </c>
      <c r="L303" s="26"/>
      <c r="M303" s="25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ht="18.0" customHeight="1">
      <c r="A304" s="27">
        <v>307.0</v>
      </c>
      <c r="B304" s="28" t="s">
        <v>622</v>
      </c>
      <c r="C304" s="28">
        <v>230703.0</v>
      </c>
      <c r="D304" s="28" t="s">
        <v>679</v>
      </c>
      <c r="E304" s="28" t="s">
        <v>680</v>
      </c>
      <c r="F304" s="28">
        <v>2.0</v>
      </c>
      <c r="G304" s="28" t="s">
        <v>41</v>
      </c>
      <c r="H304" s="28" t="s">
        <v>130</v>
      </c>
      <c r="I304" s="28" t="s">
        <v>53</v>
      </c>
      <c r="J304" s="28">
        <v>524635.0</v>
      </c>
      <c r="K304" s="29" t="s">
        <v>54</v>
      </c>
      <c r="L304" s="26"/>
      <c r="M304" s="25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ht="18.0" customHeight="1">
      <c r="A305" s="27">
        <v>307.0</v>
      </c>
      <c r="B305" s="28" t="s">
        <v>622</v>
      </c>
      <c r="C305" s="28">
        <v>230704.0</v>
      </c>
      <c r="D305" s="28" t="s">
        <v>681</v>
      </c>
      <c r="E305" s="28" t="s">
        <v>682</v>
      </c>
      <c r="F305" s="28">
        <v>2.0</v>
      </c>
      <c r="G305" s="28" t="s">
        <v>41</v>
      </c>
      <c r="H305" s="28" t="s">
        <v>130</v>
      </c>
      <c r="I305" s="28" t="s">
        <v>53</v>
      </c>
      <c r="J305" s="28">
        <v>524636.0</v>
      </c>
      <c r="K305" s="29" t="s">
        <v>54</v>
      </c>
      <c r="L305" s="26"/>
      <c r="M305" s="25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ht="18.0" customHeight="1">
      <c r="A306" s="27">
        <v>307.0</v>
      </c>
      <c r="B306" s="28" t="s">
        <v>622</v>
      </c>
      <c r="C306" s="28">
        <v>230705.0</v>
      </c>
      <c r="D306" s="28" t="s">
        <v>683</v>
      </c>
      <c r="E306" s="28" t="s">
        <v>684</v>
      </c>
      <c r="F306" s="28">
        <v>2.0</v>
      </c>
      <c r="G306" s="28" t="s">
        <v>41</v>
      </c>
      <c r="H306" s="28" t="s">
        <v>130</v>
      </c>
      <c r="I306" s="28" t="s">
        <v>53</v>
      </c>
      <c r="J306" s="28">
        <v>524637.0</v>
      </c>
      <c r="K306" s="29" t="s">
        <v>54</v>
      </c>
      <c r="L306" s="26"/>
      <c r="M306" s="25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ht="18.0" customHeight="1">
      <c r="A307" s="27">
        <v>307.0</v>
      </c>
      <c r="B307" s="28" t="s">
        <v>622</v>
      </c>
      <c r="C307" s="28">
        <v>230706.0</v>
      </c>
      <c r="D307" s="28" t="s">
        <v>685</v>
      </c>
      <c r="E307" s="28" t="s">
        <v>686</v>
      </c>
      <c r="F307" s="28">
        <v>2.0</v>
      </c>
      <c r="G307" s="28" t="s">
        <v>41</v>
      </c>
      <c r="H307" s="28" t="s">
        <v>130</v>
      </c>
      <c r="I307" s="28" t="s">
        <v>53</v>
      </c>
      <c r="J307" s="28">
        <v>524638.0</v>
      </c>
      <c r="K307" s="29" t="s">
        <v>54</v>
      </c>
      <c r="L307" s="26"/>
      <c r="M307" s="25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ht="18.0" customHeight="1">
      <c r="A308" s="27">
        <v>307.0</v>
      </c>
      <c r="B308" s="28" t="s">
        <v>622</v>
      </c>
      <c r="C308" s="28">
        <v>230707.0</v>
      </c>
      <c r="D308" s="28" t="s">
        <v>687</v>
      </c>
      <c r="E308" s="28" t="s">
        <v>688</v>
      </c>
      <c r="F308" s="28">
        <v>2.0</v>
      </c>
      <c r="G308" s="28" t="s">
        <v>41</v>
      </c>
      <c r="H308" s="28" t="s">
        <v>130</v>
      </c>
      <c r="I308" s="28" t="s">
        <v>53</v>
      </c>
      <c r="J308" s="28"/>
      <c r="K308" s="29" t="s">
        <v>54</v>
      </c>
      <c r="L308" s="26"/>
      <c r="M308" s="25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ht="18.0" customHeight="1">
      <c r="A309" s="27">
        <v>307.0</v>
      </c>
      <c r="B309" s="28" t="s">
        <v>622</v>
      </c>
      <c r="C309" s="28">
        <v>230708.0</v>
      </c>
      <c r="D309" s="28" t="s">
        <v>689</v>
      </c>
      <c r="E309" s="28" t="s">
        <v>690</v>
      </c>
      <c r="F309" s="28">
        <v>2.0</v>
      </c>
      <c r="G309" s="28" t="s">
        <v>41</v>
      </c>
      <c r="H309" s="28" t="s">
        <v>130</v>
      </c>
      <c r="I309" s="28" t="s">
        <v>53</v>
      </c>
      <c r="J309" s="28">
        <v>524639.0</v>
      </c>
      <c r="K309" s="29" t="s">
        <v>54</v>
      </c>
      <c r="L309" s="26"/>
      <c r="M309" s="25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ht="18.0" customHeight="1">
      <c r="A310" s="27">
        <v>307.0</v>
      </c>
      <c r="B310" s="28" t="s">
        <v>622</v>
      </c>
      <c r="C310" s="28">
        <v>230710.0</v>
      </c>
      <c r="D310" s="28" t="s">
        <v>691</v>
      </c>
      <c r="E310" s="28" t="s">
        <v>692</v>
      </c>
      <c r="F310" s="28">
        <v>2.0</v>
      </c>
      <c r="G310" s="28" t="s">
        <v>41</v>
      </c>
      <c r="H310" s="28" t="s">
        <v>130</v>
      </c>
      <c r="I310" s="28" t="s">
        <v>53</v>
      </c>
      <c r="J310" s="28"/>
      <c r="K310" s="29" t="s">
        <v>54</v>
      </c>
      <c r="L310" s="26"/>
      <c r="M310" s="25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ht="18.0" customHeight="1">
      <c r="A311" s="27">
        <v>307.0</v>
      </c>
      <c r="B311" s="28" t="s">
        <v>622</v>
      </c>
      <c r="C311" s="28">
        <v>230711.0</v>
      </c>
      <c r="D311" s="28" t="s">
        <v>693</v>
      </c>
      <c r="E311" s="28" t="s">
        <v>694</v>
      </c>
      <c r="F311" s="28">
        <v>2.0</v>
      </c>
      <c r="G311" s="28" t="s">
        <v>41</v>
      </c>
      <c r="H311" s="28" t="s">
        <v>130</v>
      </c>
      <c r="I311" s="28" t="s">
        <v>53</v>
      </c>
      <c r="J311" s="28"/>
      <c r="K311" s="29" t="s">
        <v>54</v>
      </c>
      <c r="L311" s="26"/>
      <c r="M311" s="25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ht="18.0" customHeight="1">
      <c r="A312" s="27">
        <v>307.0</v>
      </c>
      <c r="B312" s="28" t="s">
        <v>622</v>
      </c>
      <c r="C312" s="28">
        <v>230712.0</v>
      </c>
      <c r="D312" s="28" t="s">
        <v>695</v>
      </c>
      <c r="E312" s="28" t="s">
        <v>696</v>
      </c>
      <c r="F312" s="28">
        <v>2.0</v>
      </c>
      <c r="G312" s="28" t="s">
        <v>41</v>
      </c>
      <c r="H312" s="28" t="s">
        <v>130</v>
      </c>
      <c r="I312" s="28" t="s">
        <v>53</v>
      </c>
      <c r="J312" s="28"/>
      <c r="K312" s="29" t="s">
        <v>54</v>
      </c>
      <c r="L312" s="26"/>
      <c r="M312" s="25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ht="18.0" customHeight="1">
      <c r="A313" s="27">
        <v>307.0</v>
      </c>
      <c r="B313" s="28" t="s">
        <v>622</v>
      </c>
      <c r="C313" s="28">
        <v>230713.0</v>
      </c>
      <c r="D313" s="28" t="s">
        <v>697</v>
      </c>
      <c r="E313" s="28" t="s">
        <v>698</v>
      </c>
      <c r="F313" s="28">
        <v>2.0</v>
      </c>
      <c r="G313" s="28" t="s">
        <v>41</v>
      </c>
      <c r="H313" s="28" t="s">
        <v>130</v>
      </c>
      <c r="I313" s="28" t="s">
        <v>53</v>
      </c>
      <c r="J313" s="28"/>
      <c r="K313" s="29" t="s">
        <v>54</v>
      </c>
      <c r="L313" s="26"/>
      <c r="M313" s="25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ht="18.0" customHeight="1">
      <c r="A314" s="27">
        <v>307.0</v>
      </c>
      <c r="B314" s="28" t="s">
        <v>622</v>
      </c>
      <c r="C314" s="28">
        <v>230716.0</v>
      </c>
      <c r="D314" s="28" t="s">
        <v>699</v>
      </c>
      <c r="E314" s="28" t="s">
        <v>700</v>
      </c>
      <c r="F314" s="28">
        <v>2.0</v>
      </c>
      <c r="G314" s="28" t="s">
        <v>41</v>
      </c>
      <c r="H314" s="28" t="s">
        <v>130</v>
      </c>
      <c r="I314" s="28" t="s">
        <v>53</v>
      </c>
      <c r="J314" s="28"/>
      <c r="K314" s="29" t="s">
        <v>54</v>
      </c>
      <c r="L314" s="26"/>
      <c r="M314" s="25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ht="18.0" customHeight="1">
      <c r="A315" s="27">
        <v>307.0</v>
      </c>
      <c r="B315" s="28" t="s">
        <v>622</v>
      </c>
      <c r="C315" s="28">
        <v>230717.0</v>
      </c>
      <c r="D315" s="28" t="s">
        <v>701</v>
      </c>
      <c r="E315" s="28" t="s">
        <v>702</v>
      </c>
      <c r="F315" s="28">
        <v>2.0</v>
      </c>
      <c r="G315" s="28" t="s">
        <v>41</v>
      </c>
      <c r="H315" s="28" t="s">
        <v>130</v>
      </c>
      <c r="I315" s="28" t="s">
        <v>53</v>
      </c>
      <c r="J315" s="28"/>
      <c r="K315" s="29" t="s">
        <v>54</v>
      </c>
      <c r="L315" s="26"/>
      <c r="M315" s="25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ht="18.0" customHeight="1">
      <c r="A316" s="27">
        <v>307.0</v>
      </c>
      <c r="B316" s="28" t="s">
        <v>622</v>
      </c>
      <c r="C316" s="28">
        <v>230718.0</v>
      </c>
      <c r="D316" s="28" t="s">
        <v>703</v>
      </c>
      <c r="E316" s="28" t="s">
        <v>704</v>
      </c>
      <c r="F316" s="28">
        <v>2.0</v>
      </c>
      <c r="G316" s="28" t="s">
        <v>44</v>
      </c>
      <c r="H316" s="28" t="s">
        <v>119</v>
      </c>
      <c r="I316" s="28" t="s">
        <v>53</v>
      </c>
      <c r="J316" s="28">
        <v>524640.0</v>
      </c>
      <c r="K316" s="29" t="s">
        <v>54</v>
      </c>
      <c r="L316" s="26"/>
      <c r="M316" s="25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ht="18.0" customHeight="1">
      <c r="A317" s="27">
        <v>307.0</v>
      </c>
      <c r="B317" s="28" t="s">
        <v>622</v>
      </c>
      <c r="C317" s="28">
        <v>230720.0</v>
      </c>
      <c r="D317" s="28" t="s">
        <v>705</v>
      </c>
      <c r="E317" s="28" t="s">
        <v>706</v>
      </c>
      <c r="F317" s="28">
        <v>2.0</v>
      </c>
      <c r="G317" s="28" t="s">
        <v>41</v>
      </c>
      <c r="H317" s="28" t="s">
        <v>130</v>
      </c>
      <c r="I317" s="28" t="s">
        <v>53</v>
      </c>
      <c r="J317" s="28"/>
      <c r="K317" s="29" t="s">
        <v>54</v>
      </c>
      <c r="L317" s="26"/>
      <c r="M317" s="25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ht="18.0" customHeight="1">
      <c r="A318" s="27">
        <v>307.0</v>
      </c>
      <c r="B318" s="28" t="s">
        <v>622</v>
      </c>
      <c r="C318" s="28">
        <v>230723.0</v>
      </c>
      <c r="D318" s="28" t="s">
        <v>707</v>
      </c>
      <c r="E318" s="28" t="s">
        <v>708</v>
      </c>
      <c r="F318" s="28">
        <v>2.0</v>
      </c>
      <c r="G318" s="28" t="s">
        <v>41</v>
      </c>
      <c r="H318" s="28" t="s">
        <v>130</v>
      </c>
      <c r="I318" s="28" t="s">
        <v>53</v>
      </c>
      <c r="J318" s="28"/>
      <c r="K318" s="29" t="s">
        <v>54</v>
      </c>
      <c r="L318" s="26"/>
      <c r="M318" s="25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ht="18.0" customHeight="1">
      <c r="A319" s="27">
        <v>307.0</v>
      </c>
      <c r="B319" s="28" t="s">
        <v>622</v>
      </c>
      <c r="C319" s="28">
        <v>130701.0</v>
      </c>
      <c r="D319" s="28" t="s">
        <v>709</v>
      </c>
      <c r="E319" s="28" t="s">
        <v>710</v>
      </c>
      <c r="F319" s="28">
        <v>3.0</v>
      </c>
      <c r="G319" s="28" t="s">
        <v>41</v>
      </c>
      <c r="H319" s="28" t="s">
        <v>130</v>
      </c>
      <c r="I319" s="28" t="s">
        <v>53</v>
      </c>
      <c r="J319" s="28"/>
      <c r="K319" s="29" t="s">
        <v>54</v>
      </c>
      <c r="L319" s="26"/>
      <c r="M319" s="25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ht="18.0" customHeight="1">
      <c r="A320" s="27">
        <v>307.0</v>
      </c>
      <c r="B320" s="28" t="s">
        <v>622</v>
      </c>
      <c r="C320" s="28">
        <v>130702.0</v>
      </c>
      <c r="D320" s="28" t="s">
        <v>711</v>
      </c>
      <c r="E320" s="28" t="s">
        <v>712</v>
      </c>
      <c r="F320" s="28">
        <v>3.0</v>
      </c>
      <c r="G320" s="28" t="s">
        <v>41</v>
      </c>
      <c r="H320" s="28" t="s">
        <v>130</v>
      </c>
      <c r="I320" s="28" t="s">
        <v>53</v>
      </c>
      <c r="J320" s="28"/>
      <c r="K320" s="29" t="s">
        <v>54</v>
      </c>
      <c r="L320" s="26"/>
      <c r="M320" s="25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ht="18.0" customHeight="1">
      <c r="A321" s="27">
        <v>307.0</v>
      </c>
      <c r="B321" s="28" t="s">
        <v>622</v>
      </c>
      <c r="C321" s="28">
        <v>130706.0</v>
      </c>
      <c r="D321" s="28" t="s">
        <v>713</v>
      </c>
      <c r="E321" s="28" t="s">
        <v>714</v>
      </c>
      <c r="F321" s="28">
        <v>3.0</v>
      </c>
      <c r="G321" s="28" t="s">
        <v>41</v>
      </c>
      <c r="H321" s="28" t="s">
        <v>130</v>
      </c>
      <c r="I321" s="28" t="s">
        <v>53</v>
      </c>
      <c r="J321" s="28">
        <v>519373.0</v>
      </c>
      <c r="K321" s="29" t="s">
        <v>54</v>
      </c>
      <c r="L321" s="26"/>
      <c r="M321" s="25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ht="18.0" customHeight="1">
      <c r="A322" s="27">
        <v>307.0</v>
      </c>
      <c r="B322" s="28" t="s">
        <v>622</v>
      </c>
      <c r="C322" s="28">
        <v>130707.0</v>
      </c>
      <c r="D322" s="28" t="s">
        <v>715</v>
      </c>
      <c r="E322" s="28" t="s">
        <v>716</v>
      </c>
      <c r="F322" s="28">
        <v>3.0</v>
      </c>
      <c r="G322" s="28" t="s">
        <v>44</v>
      </c>
      <c r="H322" s="28" t="s">
        <v>119</v>
      </c>
      <c r="I322" s="28" t="s">
        <v>53</v>
      </c>
      <c r="J322" s="28">
        <v>519047.0</v>
      </c>
      <c r="K322" s="29" t="s">
        <v>54</v>
      </c>
      <c r="L322" s="26"/>
      <c r="M322" s="25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ht="18.0" customHeight="1">
      <c r="A323" s="27">
        <v>307.0</v>
      </c>
      <c r="B323" s="28" t="s">
        <v>622</v>
      </c>
      <c r="C323" s="28">
        <v>130708.0</v>
      </c>
      <c r="D323" s="28" t="s">
        <v>717</v>
      </c>
      <c r="E323" s="28" t="s">
        <v>718</v>
      </c>
      <c r="F323" s="28">
        <v>3.0</v>
      </c>
      <c r="G323" s="28" t="s">
        <v>41</v>
      </c>
      <c r="H323" s="28" t="s">
        <v>130</v>
      </c>
      <c r="I323" s="28" t="s">
        <v>53</v>
      </c>
      <c r="J323" s="28"/>
      <c r="K323" s="29" t="s">
        <v>54</v>
      </c>
      <c r="L323" s="26"/>
      <c r="M323" s="25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ht="18.0" customHeight="1">
      <c r="A324" s="27">
        <v>307.0</v>
      </c>
      <c r="B324" s="28" t="s">
        <v>622</v>
      </c>
      <c r="C324" s="28">
        <v>130710.0</v>
      </c>
      <c r="D324" s="28" t="s">
        <v>719</v>
      </c>
      <c r="E324" s="28" t="s">
        <v>720</v>
      </c>
      <c r="F324" s="28">
        <v>3.0</v>
      </c>
      <c r="G324" s="28" t="s">
        <v>44</v>
      </c>
      <c r="H324" s="28" t="s">
        <v>119</v>
      </c>
      <c r="I324" s="28" t="s">
        <v>53</v>
      </c>
      <c r="J324" s="28"/>
      <c r="K324" s="29" t="s">
        <v>54</v>
      </c>
      <c r="L324" s="26"/>
      <c r="M324" s="25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ht="18.0" customHeight="1">
      <c r="A325" s="27">
        <v>307.0</v>
      </c>
      <c r="B325" s="28" t="s">
        <v>622</v>
      </c>
      <c r="C325" s="28">
        <v>130711.0</v>
      </c>
      <c r="D325" s="28" t="s">
        <v>721</v>
      </c>
      <c r="E325" s="28" t="s">
        <v>722</v>
      </c>
      <c r="F325" s="28">
        <v>3.0</v>
      </c>
      <c r="G325" s="28" t="s">
        <v>44</v>
      </c>
      <c r="H325" s="28" t="s">
        <v>119</v>
      </c>
      <c r="I325" s="28" t="s">
        <v>53</v>
      </c>
      <c r="J325" s="28"/>
      <c r="K325" s="29" t="s">
        <v>54</v>
      </c>
      <c r="L325" s="26"/>
      <c r="M325" s="25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ht="18.0" customHeight="1">
      <c r="A326" s="27">
        <v>307.0</v>
      </c>
      <c r="B326" s="28" t="s">
        <v>622</v>
      </c>
      <c r="C326" s="28">
        <v>330701.0</v>
      </c>
      <c r="D326" s="28" t="s">
        <v>723</v>
      </c>
      <c r="E326" s="28" t="s">
        <v>724</v>
      </c>
      <c r="F326" s="28">
        <v>3.0</v>
      </c>
      <c r="G326" s="28" t="s">
        <v>41</v>
      </c>
      <c r="H326" s="28" t="s">
        <v>130</v>
      </c>
      <c r="I326" s="28" t="s">
        <v>53</v>
      </c>
      <c r="J326" s="28">
        <v>519373.0</v>
      </c>
      <c r="K326" s="29" t="s">
        <v>54</v>
      </c>
      <c r="L326" s="26"/>
      <c r="M326" s="25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ht="18.0" customHeight="1">
      <c r="A327" s="27">
        <v>307.0</v>
      </c>
      <c r="B327" s="28" t="s">
        <v>622</v>
      </c>
      <c r="C327" s="28">
        <v>30701.0</v>
      </c>
      <c r="D327" s="28" t="s">
        <v>725</v>
      </c>
      <c r="E327" s="28" t="s">
        <v>726</v>
      </c>
      <c r="F327" s="28">
        <v>4.0</v>
      </c>
      <c r="G327" s="28" t="s">
        <v>41</v>
      </c>
      <c r="H327" s="28" t="s">
        <v>130</v>
      </c>
      <c r="I327" s="28" t="s">
        <v>53</v>
      </c>
      <c r="J327" s="28"/>
      <c r="K327" s="29" t="s">
        <v>54</v>
      </c>
      <c r="L327" s="26"/>
      <c r="M327" s="25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ht="18.0" customHeight="1">
      <c r="A328" s="27">
        <v>307.0</v>
      </c>
      <c r="B328" s="28" t="s">
        <v>622</v>
      </c>
      <c r="C328" s="28">
        <v>30702.0</v>
      </c>
      <c r="D328" s="28" t="s">
        <v>727</v>
      </c>
      <c r="E328" s="28" t="s">
        <v>728</v>
      </c>
      <c r="F328" s="28">
        <v>4.0</v>
      </c>
      <c r="G328" s="28" t="s">
        <v>41</v>
      </c>
      <c r="H328" s="28" t="s">
        <v>57</v>
      </c>
      <c r="I328" s="28" t="s">
        <v>57</v>
      </c>
      <c r="J328" s="28"/>
      <c r="K328" s="29" t="s">
        <v>58</v>
      </c>
      <c r="L328" s="26"/>
      <c r="M328" s="25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ht="18.0" customHeight="1">
      <c r="A329" s="27">
        <v>307.0</v>
      </c>
      <c r="B329" s="28" t="s">
        <v>622</v>
      </c>
      <c r="C329" s="28">
        <v>30703.0</v>
      </c>
      <c r="D329" s="28" t="s">
        <v>729</v>
      </c>
      <c r="E329" s="28" t="s">
        <v>730</v>
      </c>
      <c r="F329" s="28">
        <v>4.0</v>
      </c>
      <c r="G329" s="28" t="s">
        <v>41</v>
      </c>
      <c r="H329" s="28" t="s">
        <v>130</v>
      </c>
      <c r="I329" s="28" t="s">
        <v>53</v>
      </c>
      <c r="J329" s="28"/>
      <c r="K329" s="29" t="s">
        <v>54</v>
      </c>
      <c r="L329" s="26"/>
      <c r="M329" s="25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ht="18.0" customHeight="1">
      <c r="A330" s="27">
        <v>307.0</v>
      </c>
      <c r="B330" s="28" t="s">
        <v>622</v>
      </c>
      <c r="C330" s="28">
        <v>30704.0</v>
      </c>
      <c r="D330" s="28" t="s">
        <v>731</v>
      </c>
      <c r="E330" s="28" t="s">
        <v>732</v>
      </c>
      <c r="F330" s="28">
        <v>4.0</v>
      </c>
      <c r="G330" s="28" t="s">
        <v>41</v>
      </c>
      <c r="H330" s="28" t="s">
        <v>130</v>
      </c>
      <c r="I330" s="28" t="s">
        <v>53</v>
      </c>
      <c r="J330" s="28"/>
      <c r="K330" s="29" t="s">
        <v>54</v>
      </c>
      <c r="L330" s="26"/>
      <c r="M330" s="25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ht="18.0" customHeight="1">
      <c r="A331" s="27">
        <v>309.0</v>
      </c>
      <c r="B331" s="28" t="s">
        <v>733</v>
      </c>
      <c r="C331" s="28">
        <v>330901.0</v>
      </c>
      <c r="D331" s="28" t="s">
        <v>734</v>
      </c>
      <c r="E331" s="28" t="s">
        <v>735</v>
      </c>
      <c r="F331" s="28">
        <v>1.0</v>
      </c>
      <c r="G331" s="28" t="s">
        <v>41</v>
      </c>
      <c r="H331" s="28" t="s">
        <v>52</v>
      </c>
      <c r="I331" s="28" t="s">
        <v>53</v>
      </c>
      <c r="J331" s="28">
        <v>520600.0</v>
      </c>
      <c r="K331" s="29" t="s">
        <v>54</v>
      </c>
      <c r="L331" s="26"/>
      <c r="M331" s="25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ht="18.0" customHeight="1">
      <c r="A332" s="27">
        <v>309.0</v>
      </c>
      <c r="B332" s="28" t="s">
        <v>733</v>
      </c>
      <c r="C332" s="28">
        <v>330902.0</v>
      </c>
      <c r="D332" s="28" t="s">
        <v>736</v>
      </c>
      <c r="E332" s="28" t="s">
        <v>737</v>
      </c>
      <c r="F332" s="28">
        <v>1.0</v>
      </c>
      <c r="G332" s="28" t="s">
        <v>41</v>
      </c>
      <c r="H332" s="28" t="s">
        <v>52</v>
      </c>
      <c r="I332" s="28" t="s">
        <v>53</v>
      </c>
      <c r="J332" s="28">
        <v>270238.0</v>
      </c>
      <c r="K332" s="29" t="s">
        <v>54</v>
      </c>
      <c r="L332" s="26"/>
      <c r="M332" s="25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ht="18.0" customHeight="1">
      <c r="A333" s="27">
        <v>309.0</v>
      </c>
      <c r="B333" s="28" t="s">
        <v>733</v>
      </c>
      <c r="C333" s="28">
        <v>330903.0</v>
      </c>
      <c r="D333" s="28" t="s">
        <v>738</v>
      </c>
      <c r="E333" s="28" t="s">
        <v>739</v>
      </c>
      <c r="F333" s="28">
        <v>1.0</v>
      </c>
      <c r="G333" s="28" t="s">
        <v>41</v>
      </c>
      <c r="H333" s="28" t="s">
        <v>57</v>
      </c>
      <c r="I333" s="28" t="s">
        <v>57</v>
      </c>
      <c r="J333" s="28"/>
      <c r="K333" s="29" t="s">
        <v>58</v>
      </c>
      <c r="L333" s="26"/>
      <c r="M333" s="25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ht="18.0" customHeight="1">
      <c r="A334" s="27">
        <v>309.0</v>
      </c>
      <c r="B334" s="28" t="s">
        <v>733</v>
      </c>
      <c r="C334" s="28">
        <v>330904.0</v>
      </c>
      <c r="D334" s="28" t="s">
        <v>740</v>
      </c>
      <c r="E334" s="28" t="s">
        <v>741</v>
      </c>
      <c r="F334" s="28">
        <v>1.0</v>
      </c>
      <c r="G334" s="28" t="s">
        <v>41</v>
      </c>
      <c r="H334" s="28" t="s">
        <v>57</v>
      </c>
      <c r="I334" s="28" t="s">
        <v>57</v>
      </c>
      <c r="J334" s="28"/>
      <c r="K334" s="29" t="s">
        <v>58</v>
      </c>
      <c r="L334" s="26"/>
      <c r="M334" s="25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ht="18.0" customHeight="1">
      <c r="A335" s="27">
        <v>309.0</v>
      </c>
      <c r="B335" s="28" t="s">
        <v>733</v>
      </c>
      <c r="C335" s="28">
        <v>330905.0</v>
      </c>
      <c r="D335" s="28" t="s">
        <v>742</v>
      </c>
      <c r="E335" s="28" t="s">
        <v>743</v>
      </c>
      <c r="F335" s="28">
        <v>1.0</v>
      </c>
      <c r="G335" s="28" t="s">
        <v>41</v>
      </c>
      <c r="H335" s="28" t="s">
        <v>52</v>
      </c>
      <c r="I335" s="28" t="s">
        <v>53</v>
      </c>
      <c r="J335" s="28">
        <v>270235.0</v>
      </c>
      <c r="K335" s="29" t="s">
        <v>54</v>
      </c>
      <c r="L335" s="26"/>
      <c r="M335" s="25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ht="18.0" customHeight="1">
      <c r="A336" s="27">
        <v>309.0</v>
      </c>
      <c r="B336" s="28" t="s">
        <v>733</v>
      </c>
      <c r="C336" s="28">
        <v>330906.0</v>
      </c>
      <c r="D336" s="28" t="s">
        <v>744</v>
      </c>
      <c r="E336" s="28" t="s">
        <v>745</v>
      </c>
      <c r="F336" s="28">
        <v>1.0</v>
      </c>
      <c r="G336" s="28" t="s">
        <v>41</v>
      </c>
      <c r="H336" s="28" t="s">
        <v>57</v>
      </c>
      <c r="I336" s="28" t="s">
        <v>57</v>
      </c>
      <c r="J336" s="28"/>
      <c r="K336" s="29" t="s">
        <v>58</v>
      </c>
      <c r="L336" s="26"/>
      <c r="M336" s="25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ht="18.0" customHeight="1">
      <c r="A337" s="27">
        <v>309.0</v>
      </c>
      <c r="B337" s="28" t="s">
        <v>733</v>
      </c>
      <c r="C337" s="28">
        <v>330907.0</v>
      </c>
      <c r="D337" s="28" t="s">
        <v>746</v>
      </c>
      <c r="E337" s="28" t="s">
        <v>747</v>
      </c>
      <c r="F337" s="28">
        <v>1.0</v>
      </c>
      <c r="G337" s="28" t="s">
        <v>41</v>
      </c>
      <c r="H337" s="28" t="s">
        <v>57</v>
      </c>
      <c r="I337" s="28" t="s">
        <v>57</v>
      </c>
      <c r="J337" s="28"/>
      <c r="K337" s="29" t="s">
        <v>58</v>
      </c>
      <c r="L337" s="26"/>
      <c r="M337" s="25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ht="18.0" customHeight="1">
      <c r="A338" s="27">
        <v>309.0</v>
      </c>
      <c r="B338" s="28" t="s">
        <v>733</v>
      </c>
      <c r="C338" s="28">
        <v>330908.0</v>
      </c>
      <c r="D338" s="28" t="s">
        <v>748</v>
      </c>
      <c r="E338" s="28" t="s">
        <v>749</v>
      </c>
      <c r="F338" s="28">
        <v>1.0</v>
      </c>
      <c r="G338" s="28" t="s">
        <v>41</v>
      </c>
      <c r="H338" s="28" t="s">
        <v>52</v>
      </c>
      <c r="I338" s="28" t="s">
        <v>53</v>
      </c>
      <c r="J338" s="28">
        <v>270236.0</v>
      </c>
      <c r="K338" s="29" t="s">
        <v>54</v>
      </c>
      <c r="L338" s="26"/>
      <c r="M338" s="25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ht="18.0" customHeight="1">
      <c r="A339" s="27">
        <v>309.0</v>
      </c>
      <c r="B339" s="28" t="s">
        <v>733</v>
      </c>
      <c r="C339" s="28">
        <v>330909.0</v>
      </c>
      <c r="D339" s="28" t="s">
        <v>750</v>
      </c>
      <c r="E339" s="28" t="s">
        <v>751</v>
      </c>
      <c r="F339" s="28">
        <v>1.0</v>
      </c>
      <c r="G339" s="28" t="s">
        <v>41</v>
      </c>
      <c r="H339" s="28" t="s">
        <v>52</v>
      </c>
      <c r="I339" s="28" t="s">
        <v>53</v>
      </c>
      <c r="J339" s="28">
        <v>270237.0</v>
      </c>
      <c r="K339" s="29" t="s">
        <v>54</v>
      </c>
      <c r="L339" s="26"/>
      <c r="M339" s="25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ht="18.0" customHeight="1">
      <c r="A340" s="27">
        <v>309.0</v>
      </c>
      <c r="B340" s="28" t="s">
        <v>733</v>
      </c>
      <c r="C340" s="28">
        <v>330910.0</v>
      </c>
      <c r="D340" s="28" t="s">
        <v>752</v>
      </c>
      <c r="E340" s="28" t="s">
        <v>753</v>
      </c>
      <c r="F340" s="28">
        <v>1.0</v>
      </c>
      <c r="G340" s="28" t="s">
        <v>41</v>
      </c>
      <c r="H340" s="28" t="s">
        <v>57</v>
      </c>
      <c r="I340" s="28" t="s">
        <v>57</v>
      </c>
      <c r="J340" s="28"/>
      <c r="K340" s="29" t="s">
        <v>58</v>
      </c>
      <c r="L340" s="26"/>
      <c r="M340" s="25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ht="18.0" customHeight="1">
      <c r="A341" s="27">
        <v>309.0</v>
      </c>
      <c r="B341" s="28" t="s">
        <v>733</v>
      </c>
      <c r="C341" s="28">
        <v>330911.0</v>
      </c>
      <c r="D341" s="28" t="s">
        <v>754</v>
      </c>
      <c r="E341" s="28" t="s">
        <v>755</v>
      </c>
      <c r="F341" s="28">
        <v>1.0</v>
      </c>
      <c r="G341" s="28" t="s">
        <v>41</v>
      </c>
      <c r="H341" s="28" t="s">
        <v>57</v>
      </c>
      <c r="I341" s="28" t="s">
        <v>57</v>
      </c>
      <c r="J341" s="28"/>
      <c r="K341" s="29" t="s">
        <v>58</v>
      </c>
      <c r="L341" s="26"/>
      <c r="M341" s="25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ht="18.0" customHeight="1">
      <c r="A342" s="27">
        <v>309.0</v>
      </c>
      <c r="B342" s="28" t="s">
        <v>733</v>
      </c>
      <c r="C342" s="28">
        <v>330912.0</v>
      </c>
      <c r="D342" s="28" t="s">
        <v>756</v>
      </c>
      <c r="E342" s="28" t="s">
        <v>757</v>
      </c>
      <c r="F342" s="28">
        <v>1.0</v>
      </c>
      <c r="G342" s="28" t="s">
        <v>41</v>
      </c>
      <c r="H342" s="28" t="s">
        <v>52</v>
      </c>
      <c r="I342" s="28" t="s">
        <v>53</v>
      </c>
      <c r="J342" s="28">
        <v>270239.0</v>
      </c>
      <c r="K342" s="29" t="s">
        <v>54</v>
      </c>
      <c r="L342" s="26"/>
      <c r="M342" s="25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ht="18.0" customHeight="1">
      <c r="A343" s="27">
        <v>309.0</v>
      </c>
      <c r="B343" s="28" t="s">
        <v>733</v>
      </c>
      <c r="C343" s="28">
        <v>330913.0</v>
      </c>
      <c r="D343" s="28" t="s">
        <v>758</v>
      </c>
      <c r="E343" s="28" t="s">
        <v>759</v>
      </c>
      <c r="F343" s="28">
        <v>1.0</v>
      </c>
      <c r="G343" s="28" t="s">
        <v>41</v>
      </c>
      <c r="H343" s="28" t="s">
        <v>52</v>
      </c>
      <c r="I343" s="28" t="s">
        <v>53</v>
      </c>
      <c r="J343" s="28">
        <v>270245.0</v>
      </c>
      <c r="K343" s="29" t="s">
        <v>54</v>
      </c>
      <c r="L343" s="26"/>
      <c r="M343" s="25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ht="18.0" customHeight="1">
      <c r="A344" s="27">
        <v>309.0</v>
      </c>
      <c r="B344" s="28" t="s">
        <v>733</v>
      </c>
      <c r="C344" s="28">
        <v>330914.0</v>
      </c>
      <c r="D344" s="28" t="s">
        <v>760</v>
      </c>
      <c r="E344" s="28" t="s">
        <v>761</v>
      </c>
      <c r="F344" s="28">
        <v>1.0</v>
      </c>
      <c r="G344" s="28" t="s">
        <v>41</v>
      </c>
      <c r="H344" s="28" t="s">
        <v>52</v>
      </c>
      <c r="I344" s="28" t="s">
        <v>53</v>
      </c>
      <c r="J344" s="28">
        <v>270246.0</v>
      </c>
      <c r="K344" s="29" t="s">
        <v>54</v>
      </c>
      <c r="L344" s="26"/>
      <c r="M344" s="25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ht="18.0" customHeight="1">
      <c r="A345" s="27">
        <v>309.0</v>
      </c>
      <c r="B345" s="28" t="s">
        <v>733</v>
      </c>
      <c r="C345" s="28">
        <v>330915.0</v>
      </c>
      <c r="D345" s="28" t="s">
        <v>762</v>
      </c>
      <c r="E345" s="28" t="s">
        <v>763</v>
      </c>
      <c r="F345" s="28">
        <v>1.0</v>
      </c>
      <c r="G345" s="28" t="s">
        <v>41</v>
      </c>
      <c r="H345" s="28" t="s">
        <v>52</v>
      </c>
      <c r="I345" s="28" t="s">
        <v>53</v>
      </c>
      <c r="J345" s="28">
        <v>270240.0</v>
      </c>
      <c r="K345" s="29" t="s">
        <v>54</v>
      </c>
      <c r="L345" s="26"/>
      <c r="M345" s="25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ht="18.0" customHeight="1">
      <c r="A346" s="27">
        <v>309.0</v>
      </c>
      <c r="B346" s="28" t="s">
        <v>733</v>
      </c>
      <c r="C346" s="28">
        <v>330916.0</v>
      </c>
      <c r="D346" s="28" t="s">
        <v>764</v>
      </c>
      <c r="E346" s="28" t="s">
        <v>765</v>
      </c>
      <c r="F346" s="28">
        <v>1.0</v>
      </c>
      <c r="G346" s="28" t="s">
        <v>41</v>
      </c>
      <c r="H346" s="28" t="s">
        <v>57</v>
      </c>
      <c r="I346" s="28" t="s">
        <v>57</v>
      </c>
      <c r="J346" s="28"/>
      <c r="K346" s="29" t="s">
        <v>58</v>
      </c>
      <c r="L346" s="26"/>
      <c r="M346" s="25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ht="18.0" customHeight="1">
      <c r="A347" s="27">
        <v>309.0</v>
      </c>
      <c r="B347" s="28" t="s">
        <v>733</v>
      </c>
      <c r="C347" s="28">
        <v>330917.0</v>
      </c>
      <c r="D347" s="28" t="s">
        <v>766</v>
      </c>
      <c r="E347" s="28" t="s">
        <v>767</v>
      </c>
      <c r="F347" s="28">
        <v>1.0</v>
      </c>
      <c r="G347" s="28" t="s">
        <v>41</v>
      </c>
      <c r="H347" s="28" t="s">
        <v>52</v>
      </c>
      <c r="I347" s="28" t="s">
        <v>53</v>
      </c>
      <c r="J347" s="28">
        <v>270247.0</v>
      </c>
      <c r="K347" s="29" t="s">
        <v>54</v>
      </c>
      <c r="L347" s="26"/>
      <c r="M347" s="25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ht="18.0" customHeight="1">
      <c r="A348" s="27">
        <v>309.0</v>
      </c>
      <c r="B348" s="28" t="s">
        <v>733</v>
      </c>
      <c r="C348" s="28">
        <v>330918.0</v>
      </c>
      <c r="D348" s="28" t="s">
        <v>768</v>
      </c>
      <c r="E348" s="28" t="s">
        <v>769</v>
      </c>
      <c r="F348" s="28">
        <v>1.0</v>
      </c>
      <c r="G348" s="28" t="s">
        <v>41</v>
      </c>
      <c r="H348" s="28" t="s">
        <v>57</v>
      </c>
      <c r="I348" s="28" t="s">
        <v>57</v>
      </c>
      <c r="J348" s="28"/>
      <c r="K348" s="29" t="s">
        <v>58</v>
      </c>
      <c r="L348" s="26"/>
      <c r="M348" s="25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ht="18.0" customHeight="1">
      <c r="A349" s="27">
        <v>309.0</v>
      </c>
      <c r="B349" s="28" t="s">
        <v>733</v>
      </c>
      <c r="C349" s="28">
        <v>330919.0</v>
      </c>
      <c r="D349" s="28" t="s">
        <v>770</v>
      </c>
      <c r="E349" s="28" t="s">
        <v>771</v>
      </c>
      <c r="F349" s="28">
        <v>1.0</v>
      </c>
      <c r="G349" s="28" t="s">
        <v>44</v>
      </c>
      <c r="H349" s="28" t="s">
        <v>57</v>
      </c>
      <c r="I349" s="28" t="s">
        <v>57</v>
      </c>
      <c r="J349" s="28"/>
      <c r="K349" s="29" t="s">
        <v>58</v>
      </c>
      <c r="L349" s="26"/>
      <c r="M349" s="25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ht="18.0" customHeight="1">
      <c r="A350" s="27">
        <v>309.0</v>
      </c>
      <c r="B350" s="28" t="s">
        <v>733</v>
      </c>
      <c r="C350" s="28">
        <v>330920.0</v>
      </c>
      <c r="D350" s="28" t="s">
        <v>772</v>
      </c>
      <c r="E350" s="28" t="s">
        <v>773</v>
      </c>
      <c r="F350" s="28">
        <v>1.0</v>
      </c>
      <c r="G350" s="28" t="s">
        <v>44</v>
      </c>
      <c r="H350" s="28" t="s">
        <v>61</v>
      </c>
      <c r="I350" s="28" t="s">
        <v>53</v>
      </c>
      <c r="J350" s="28">
        <v>270248.0</v>
      </c>
      <c r="K350" s="29" t="s">
        <v>54</v>
      </c>
      <c r="L350" s="26"/>
      <c r="M350" s="25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ht="18.0" customHeight="1">
      <c r="A351" s="27">
        <v>309.0</v>
      </c>
      <c r="B351" s="28" t="s">
        <v>733</v>
      </c>
      <c r="C351" s="28">
        <v>330921.0</v>
      </c>
      <c r="D351" s="28" t="s">
        <v>774</v>
      </c>
      <c r="E351" s="28" t="s">
        <v>775</v>
      </c>
      <c r="F351" s="28">
        <v>1.0</v>
      </c>
      <c r="G351" s="28" t="s">
        <v>44</v>
      </c>
      <c r="H351" s="28" t="s">
        <v>61</v>
      </c>
      <c r="I351" s="28" t="s">
        <v>53</v>
      </c>
      <c r="J351" s="28">
        <v>270241.0</v>
      </c>
      <c r="K351" s="29" t="s">
        <v>54</v>
      </c>
      <c r="L351" s="26"/>
      <c r="M351" s="25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ht="18.0" customHeight="1">
      <c r="A352" s="27">
        <v>309.0</v>
      </c>
      <c r="B352" s="28" t="s">
        <v>733</v>
      </c>
      <c r="C352" s="28">
        <v>330922.0</v>
      </c>
      <c r="D352" s="28" t="s">
        <v>776</v>
      </c>
      <c r="E352" s="28" t="s">
        <v>777</v>
      </c>
      <c r="F352" s="28">
        <v>1.0</v>
      </c>
      <c r="G352" s="28" t="s">
        <v>44</v>
      </c>
      <c r="H352" s="28" t="s">
        <v>57</v>
      </c>
      <c r="I352" s="28" t="s">
        <v>57</v>
      </c>
      <c r="J352" s="28"/>
      <c r="K352" s="29" t="s">
        <v>58</v>
      </c>
      <c r="L352" s="26"/>
      <c r="M352" s="25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ht="18.0" customHeight="1">
      <c r="A353" s="27">
        <v>309.0</v>
      </c>
      <c r="B353" s="28" t="s">
        <v>733</v>
      </c>
      <c r="C353" s="28">
        <v>330923.0</v>
      </c>
      <c r="D353" s="28" t="s">
        <v>778</v>
      </c>
      <c r="E353" s="28" t="s">
        <v>779</v>
      </c>
      <c r="F353" s="28">
        <v>1.0</v>
      </c>
      <c r="G353" s="28" t="s">
        <v>44</v>
      </c>
      <c r="H353" s="28" t="s">
        <v>57</v>
      </c>
      <c r="I353" s="28" t="s">
        <v>57</v>
      </c>
      <c r="J353" s="28"/>
      <c r="K353" s="29" t="s">
        <v>58</v>
      </c>
      <c r="L353" s="26"/>
      <c r="M353" s="25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ht="18.0" customHeight="1">
      <c r="A354" s="27">
        <v>309.0</v>
      </c>
      <c r="B354" s="28" t="s">
        <v>733</v>
      </c>
      <c r="C354" s="28">
        <v>330924.0</v>
      </c>
      <c r="D354" s="28" t="s">
        <v>780</v>
      </c>
      <c r="E354" s="28" t="s">
        <v>781</v>
      </c>
      <c r="F354" s="28">
        <v>1.0</v>
      </c>
      <c r="G354" s="28" t="s">
        <v>44</v>
      </c>
      <c r="H354" s="28" t="s">
        <v>57</v>
      </c>
      <c r="I354" s="28" t="s">
        <v>57</v>
      </c>
      <c r="J354" s="28"/>
      <c r="K354" s="29" t="s">
        <v>58</v>
      </c>
      <c r="L354" s="26"/>
      <c r="M354" s="25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ht="18.0" customHeight="1">
      <c r="A355" s="27">
        <v>309.0</v>
      </c>
      <c r="B355" s="28" t="s">
        <v>733</v>
      </c>
      <c r="C355" s="28">
        <v>330925.0</v>
      </c>
      <c r="D355" s="28" t="s">
        <v>782</v>
      </c>
      <c r="E355" s="28" t="s">
        <v>783</v>
      </c>
      <c r="F355" s="28">
        <v>1.0</v>
      </c>
      <c r="G355" s="28" t="s">
        <v>44</v>
      </c>
      <c r="H355" s="28" t="s">
        <v>61</v>
      </c>
      <c r="I355" s="28" t="s">
        <v>53</v>
      </c>
      <c r="J355" s="28"/>
      <c r="K355" s="29" t="s">
        <v>54</v>
      </c>
      <c r="L355" s="26"/>
      <c r="M355" s="25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ht="18.0" customHeight="1">
      <c r="A356" s="27">
        <v>309.0</v>
      </c>
      <c r="B356" s="28" t="s">
        <v>733</v>
      </c>
      <c r="C356" s="28">
        <v>330926.0</v>
      </c>
      <c r="D356" s="28" t="s">
        <v>784</v>
      </c>
      <c r="E356" s="28" t="s">
        <v>785</v>
      </c>
      <c r="F356" s="28">
        <v>1.0</v>
      </c>
      <c r="G356" s="28" t="s">
        <v>41</v>
      </c>
      <c r="H356" s="28" t="s">
        <v>57</v>
      </c>
      <c r="I356" s="28" t="s">
        <v>57</v>
      </c>
      <c r="J356" s="28"/>
      <c r="K356" s="29" t="s">
        <v>58</v>
      </c>
      <c r="L356" s="26"/>
      <c r="M356" s="25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ht="18.0" customHeight="1">
      <c r="A357" s="27">
        <v>309.0</v>
      </c>
      <c r="B357" s="28" t="s">
        <v>733</v>
      </c>
      <c r="C357" s="28">
        <v>330927.0</v>
      </c>
      <c r="D357" s="28" t="s">
        <v>786</v>
      </c>
      <c r="E357" s="28" t="s">
        <v>787</v>
      </c>
      <c r="F357" s="28">
        <v>1.0</v>
      </c>
      <c r="G357" s="28" t="s">
        <v>41</v>
      </c>
      <c r="H357" s="28" t="s">
        <v>57</v>
      </c>
      <c r="I357" s="28" t="s">
        <v>57</v>
      </c>
      <c r="J357" s="28"/>
      <c r="K357" s="29" t="s">
        <v>58</v>
      </c>
      <c r="L357" s="26"/>
      <c r="M357" s="25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ht="18.0" customHeight="1">
      <c r="A358" s="27">
        <v>309.0</v>
      </c>
      <c r="B358" s="28" t="s">
        <v>733</v>
      </c>
      <c r="C358" s="28">
        <v>330928.0</v>
      </c>
      <c r="D358" s="28" t="s">
        <v>788</v>
      </c>
      <c r="E358" s="28" t="s">
        <v>789</v>
      </c>
      <c r="F358" s="28">
        <v>1.0</v>
      </c>
      <c r="G358" s="28" t="s">
        <v>41</v>
      </c>
      <c r="H358" s="28" t="s">
        <v>57</v>
      </c>
      <c r="I358" s="28" t="s">
        <v>57</v>
      </c>
      <c r="J358" s="28"/>
      <c r="K358" s="29" t="s">
        <v>58</v>
      </c>
      <c r="L358" s="26"/>
      <c r="M358" s="25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ht="18.0" customHeight="1">
      <c r="A359" s="27">
        <v>309.0</v>
      </c>
      <c r="B359" s="28" t="s">
        <v>733</v>
      </c>
      <c r="C359" s="28">
        <v>330929.0</v>
      </c>
      <c r="D359" s="28" t="s">
        <v>790</v>
      </c>
      <c r="E359" s="28" t="s">
        <v>791</v>
      </c>
      <c r="F359" s="28">
        <v>1.0</v>
      </c>
      <c r="G359" s="28" t="s">
        <v>44</v>
      </c>
      <c r="H359" s="28" t="s">
        <v>61</v>
      </c>
      <c r="I359" s="28" t="s">
        <v>53</v>
      </c>
      <c r="J359" s="28">
        <v>270250.0</v>
      </c>
      <c r="K359" s="29" t="s">
        <v>54</v>
      </c>
      <c r="L359" s="26"/>
      <c r="M359" s="25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ht="18.0" customHeight="1">
      <c r="A360" s="27">
        <v>309.0</v>
      </c>
      <c r="B360" s="28" t="s">
        <v>733</v>
      </c>
      <c r="C360" s="28">
        <v>230902.0</v>
      </c>
      <c r="D360" s="28" t="s">
        <v>792</v>
      </c>
      <c r="E360" s="28" t="s">
        <v>793</v>
      </c>
      <c r="F360" s="28">
        <v>2.0</v>
      </c>
      <c r="G360" s="28" t="s">
        <v>41</v>
      </c>
      <c r="H360" s="28" t="s">
        <v>130</v>
      </c>
      <c r="I360" s="28" t="s">
        <v>53</v>
      </c>
      <c r="J360" s="28"/>
      <c r="K360" s="29" t="s">
        <v>54</v>
      </c>
      <c r="L360" s="26"/>
      <c r="M360" s="25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ht="18.0" customHeight="1">
      <c r="A361" s="27">
        <v>309.0</v>
      </c>
      <c r="B361" s="28" t="s">
        <v>733</v>
      </c>
      <c r="C361" s="28">
        <v>230903.0</v>
      </c>
      <c r="D361" s="28" t="s">
        <v>794</v>
      </c>
      <c r="E361" s="28" t="s">
        <v>795</v>
      </c>
      <c r="F361" s="28">
        <v>2.0</v>
      </c>
      <c r="G361" s="28" t="s">
        <v>41</v>
      </c>
      <c r="H361" s="28" t="s">
        <v>57</v>
      </c>
      <c r="I361" s="28" t="s">
        <v>57</v>
      </c>
      <c r="J361" s="28"/>
      <c r="K361" s="29" t="s">
        <v>58</v>
      </c>
      <c r="L361" s="26"/>
      <c r="M361" s="25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ht="18.0" customHeight="1">
      <c r="A362" s="27">
        <v>309.0</v>
      </c>
      <c r="B362" s="28" t="s">
        <v>733</v>
      </c>
      <c r="C362" s="28">
        <v>230906.0</v>
      </c>
      <c r="D362" s="28" t="s">
        <v>796</v>
      </c>
      <c r="E362" s="28" t="s">
        <v>797</v>
      </c>
      <c r="F362" s="28">
        <v>2.0</v>
      </c>
      <c r="G362" s="28" t="s">
        <v>41</v>
      </c>
      <c r="H362" s="28" t="s">
        <v>57</v>
      </c>
      <c r="I362" s="28" t="s">
        <v>57</v>
      </c>
      <c r="J362" s="28"/>
      <c r="K362" s="29" t="s">
        <v>58</v>
      </c>
      <c r="L362" s="26"/>
      <c r="M362" s="25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ht="18.0" customHeight="1">
      <c r="A363" s="27">
        <v>309.0</v>
      </c>
      <c r="B363" s="28" t="s">
        <v>733</v>
      </c>
      <c r="C363" s="28">
        <v>230907.0</v>
      </c>
      <c r="D363" s="28" t="s">
        <v>798</v>
      </c>
      <c r="E363" s="28" t="s">
        <v>799</v>
      </c>
      <c r="F363" s="28">
        <v>2.0</v>
      </c>
      <c r="G363" s="28" t="s">
        <v>41</v>
      </c>
      <c r="H363" s="28" t="s">
        <v>130</v>
      </c>
      <c r="I363" s="28" t="s">
        <v>53</v>
      </c>
      <c r="J363" s="28">
        <v>261192.0</v>
      </c>
      <c r="K363" s="29" t="s">
        <v>54</v>
      </c>
      <c r="L363" s="26"/>
      <c r="M363" s="25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ht="18.0" customHeight="1">
      <c r="A364" s="27">
        <v>309.0</v>
      </c>
      <c r="B364" s="28" t="s">
        <v>733</v>
      </c>
      <c r="C364" s="28">
        <v>230912.0</v>
      </c>
      <c r="D364" s="28" t="s">
        <v>800</v>
      </c>
      <c r="E364" s="28" t="s">
        <v>801</v>
      </c>
      <c r="F364" s="28">
        <v>2.0</v>
      </c>
      <c r="G364" s="28" t="s">
        <v>41</v>
      </c>
      <c r="H364" s="28" t="s">
        <v>57</v>
      </c>
      <c r="I364" s="28" t="s">
        <v>57</v>
      </c>
      <c r="J364" s="28"/>
      <c r="K364" s="29" t="s">
        <v>58</v>
      </c>
      <c r="L364" s="26"/>
      <c r="M364" s="25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ht="18.0" customHeight="1">
      <c r="A365" s="27">
        <v>309.0</v>
      </c>
      <c r="B365" s="28" t="s">
        <v>733</v>
      </c>
      <c r="C365" s="28">
        <v>230914.0</v>
      </c>
      <c r="D365" s="28" t="s">
        <v>802</v>
      </c>
      <c r="E365" s="28" t="s">
        <v>803</v>
      </c>
      <c r="F365" s="28">
        <v>2.0</v>
      </c>
      <c r="G365" s="28" t="s">
        <v>41</v>
      </c>
      <c r="H365" s="28" t="s">
        <v>130</v>
      </c>
      <c r="I365" s="28" t="s">
        <v>53</v>
      </c>
      <c r="J365" s="28">
        <v>265854.0</v>
      </c>
      <c r="K365" s="29" t="s">
        <v>54</v>
      </c>
      <c r="L365" s="26"/>
      <c r="M365" s="25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ht="18.0" customHeight="1">
      <c r="A366" s="27">
        <v>309.0</v>
      </c>
      <c r="B366" s="28" t="s">
        <v>733</v>
      </c>
      <c r="C366" s="28">
        <v>230915.0</v>
      </c>
      <c r="D366" s="28" t="s">
        <v>804</v>
      </c>
      <c r="E366" s="28" t="s">
        <v>805</v>
      </c>
      <c r="F366" s="28">
        <v>2.0</v>
      </c>
      <c r="G366" s="28" t="s">
        <v>41</v>
      </c>
      <c r="H366" s="28" t="s">
        <v>130</v>
      </c>
      <c r="I366" s="28" t="s">
        <v>53</v>
      </c>
      <c r="J366" s="28">
        <v>265843.0</v>
      </c>
      <c r="K366" s="29" t="s">
        <v>54</v>
      </c>
      <c r="L366" s="26"/>
      <c r="M366" s="25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ht="18.0" customHeight="1">
      <c r="A367" s="27">
        <v>309.0</v>
      </c>
      <c r="B367" s="28" t="s">
        <v>733</v>
      </c>
      <c r="C367" s="28">
        <v>230917.0</v>
      </c>
      <c r="D367" s="28" t="s">
        <v>806</v>
      </c>
      <c r="E367" s="28" t="s">
        <v>807</v>
      </c>
      <c r="F367" s="28">
        <v>2.0</v>
      </c>
      <c r="G367" s="28" t="s">
        <v>41</v>
      </c>
      <c r="H367" s="28" t="s">
        <v>57</v>
      </c>
      <c r="I367" s="28" t="s">
        <v>57</v>
      </c>
      <c r="J367" s="28"/>
      <c r="K367" s="29" t="s">
        <v>58</v>
      </c>
      <c r="L367" s="26"/>
      <c r="M367" s="25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ht="18.0" customHeight="1">
      <c r="A368" s="27">
        <v>309.0</v>
      </c>
      <c r="B368" s="28" t="s">
        <v>733</v>
      </c>
      <c r="C368" s="28">
        <v>230918.0</v>
      </c>
      <c r="D368" s="28" t="s">
        <v>808</v>
      </c>
      <c r="E368" s="28" t="s">
        <v>809</v>
      </c>
      <c r="F368" s="28">
        <v>2.0</v>
      </c>
      <c r="G368" s="28" t="s">
        <v>41</v>
      </c>
      <c r="H368" s="28" t="s">
        <v>130</v>
      </c>
      <c r="I368" s="28" t="s">
        <v>53</v>
      </c>
      <c r="J368" s="28"/>
      <c r="K368" s="29" t="s">
        <v>54</v>
      </c>
      <c r="L368" s="26"/>
      <c r="M368" s="25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ht="18.0" customHeight="1">
      <c r="A369" s="27">
        <v>309.0</v>
      </c>
      <c r="B369" s="28" t="s">
        <v>733</v>
      </c>
      <c r="C369" s="28">
        <v>230922.0</v>
      </c>
      <c r="D369" s="28" t="s">
        <v>810</v>
      </c>
      <c r="E369" s="28" t="s">
        <v>811</v>
      </c>
      <c r="F369" s="28">
        <v>2.0</v>
      </c>
      <c r="G369" s="28" t="s">
        <v>41</v>
      </c>
      <c r="H369" s="28" t="s">
        <v>130</v>
      </c>
      <c r="I369" s="28" t="s">
        <v>53</v>
      </c>
      <c r="J369" s="28"/>
      <c r="K369" s="29" t="s">
        <v>54</v>
      </c>
      <c r="L369" s="26"/>
      <c r="M369" s="25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ht="18.0" customHeight="1">
      <c r="A370" s="27">
        <v>309.0</v>
      </c>
      <c r="B370" s="28" t="s">
        <v>733</v>
      </c>
      <c r="C370" s="28">
        <v>230923.0</v>
      </c>
      <c r="D370" s="28" t="s">
        <v>812</v>
      </c>
      <c r="E370" s="28" t="s">
        <v>813</v>
      </c>
      <c r="F370" s="28">
        <v>2.0</v>
      </c>
      <c r="G370" s="28" t="s">
        <v>41</v>
      </c>
      <c r="H370" s="28" t="s">
        <v>57</v>
      </c>
      <c r="I370" s="28" t="s">
        <v>57</v>
      </c>
      <c r="J370" s="28"/>
      <c r="K370" s="29" t="s">
        <v>58</v>
      </c>
      <c r="L370" s="26"/>
      <c r="M370" s="25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ht="18.0" customHeight="1">
      <c r="A371" s="27">
        <v>309.0</v>
      </c>
      <c r="B371" s="28" t="s">
        <v>733</v>
      </c>
      <c r="C371" s="28">
        <v>130901.0</v>
      </c>
      <c r="D371" s="28" t="s">
        <v>814</v>
      </c>
      <c r="E371" s="28" t="s">
        <v>815</v>
      </c>
      <c r="F371" s="28">
        <v>3.0</v>
      </c>
      <c r="G371" s="28" t="s">
        <v>41</v>
      </c>
      <c r="H371" s="28" t="s">
        <v>130</v>
      </c>
      <c r="I371" s="28" t="s">
        <v>53</v>
      </c>
      <c r="J371" s="28">
        <v>257856.0</v>
      </c>
      <c r="K371" s="29" t="s">
        <v>54</v>
      </c>
      <c r="L371" s="26"/>
      <c r="M371" s="25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ht="18.0" customHeight="1">
      <c r="A372" s="27">
        <v>309.0</v>
      </c>
      <c r="B372" s="28" t="s">
        <v>733</v>
      </c>
      <c r="C372" s="28">
        <v>130902.0</v>
      </c>
      <c r="D372" s="28" t="s">
        <v>816</v>
      </c>
      <c r="E372" s="28" t="s">
        <v>817</v>
      </c>
      <c r="F372" s="28">
        <v>3.0</v>
      </c>
      <c r="G372" s="28" t="s">
        <v>41</v>
      </c>
      <c r="H372" s="28" t="s">
        <v>57</v>
      </c>
      <c r="I372" s="28" t="s">
        <v>57</v>
      </c>
      <c r="J372" s="28"/>
      <c r="K372" s="29" t="s">
        <v>58</v>
      </c>
      <c r="L372" s="26"/>
      <c r="M372" s="25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ht="18.0" customHeight="1">
      <c r="A373" s="27">
        <v>309.0</v>
      </c>
      <c r="B373" s="28" t="s">
        <v>733</v>
      </c>
      <c r="C373" s="28">
        <v>130903.0</v>
      </c>
      <c r="D373" s="28" t="s">
        <v>818</v>
      </c>
      <c r="E373" s="28" t="s">
        <v>819</v>
      </c>
      <c r="F373" s="28">
        <v>3.0</v>
      </c>
      <c r="G373" s="28" t="s">
        <v>41</v>
      </c>
      <c r="H373" s="28" t="s">
        <v>130</v>
      </c>
      <c r="I373" s="28" t="s">
        <v>53</v>
      </c>
      <c r="J373" s="28">
        <v>257859.0</v>
      </c>
      <c r="K373" s="29" t="s">
        <v>54</v>
      </c>
      <c r="L373" s="26"/>
      <c r="M373" s="25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ht="18.0" customHeight="1">
      <c r="A374" s="27">
        <v>309.0</v>
      </c>
      <c r="B374" s="28" t="s">
        <v>733</v>
      </c>
      <c r="C374" s="28">
        <v>130904.0</v>
      </c>
      <c r="D374" s="28" t="s">
        <v>820</v>
      </c>
      <c r="E374" s="28" t="s">
        <v>821</v>
      </c>
      <c r="F374" s="28">
        <v>3.0</v>
      </c>
      <c r="G374" s="28" t="s">
        <v>41</v>
      </c>
      <c r="H374" s="28" t="s">
        <v>130</v>
      </c>
      <c r="I374" s="28" t="s">
        <v>53</v>
      </c>
      <c r="J374" s="28">
        <v>257858.0</v>
      </c>
      <c r="K374" s="29" t="s">
        <v>54</v>
      </c>
      <c r="L374" s="26"/>
      <c r="M374" s="25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ht="18.0" customHeight="1">
      <c r="A375" s="27">
        <v>309.0</v>
      </c>
      <c r="B375" s="28" t="s">
        <v>733</v>
      </c>
      <c r="C375" s="28">
        <v>130906.0</v>
      </c>
      <c r="D375" s="28" t="s">
        <v>822</v>
      </c>
      <c r="E375" s="28" t="s">
        <v>823</v>
      </c>
      <c r="F375" s="28">
        <v>3.0</v>
      </c>
      <c r="G375" s="28" t="s">
        <v>41</v>
      </c>
      <c r="H375" s="28" t="s">
        <v>130</v>
      </c>
      <c r="I375" s="28" t="s">
        <v>53</v>
      </c>
      <c r="J375" s="28">
        <v>261187.0</v>
      </c>
      <c r="K375" s="29" t="s">
        <v>54</v>
      </c>
      <c r="L375" s="26"/>
      <c r="M375" s="25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ht="18.0" customHeight="1">
      <c r="A376" s="27">
        <v>309.0</v>
      </c>
      <c r="B376" s="28" t="s">
        <v>733</v>
      </c>
      <c r="C376" s="28">
        <v>130908.0</v>
      </c>
      <c r="D376" s="28" t="s">
        <v>824</v>
      </c>
      <c r="E376" s="28" t="s">
        <v>825</v>
      </c>
      <c r="F376" s="28">
        <v>3.0</v>
      </c>
      <c r="G376" s="28" t="s">
        <v>41</v>
      </c>
      <c r="H376" s="28" t="s">
        <v>130</v>
      </c>
      <c r="I376" s="28" t="s">
        <v>53</v>
      </c>
      <c r="J376" s="28">
        <v>261188.0</v>
      </c>
      <c r="K376" s="29" t="s">
        <v>54</v>
      </c>
      <c r="L376" s="26"/>
      <c r="M376" s="25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ht="18.0" customHeight="1">
      <c r="A377" s="27">
        <v>309.0</v>
      </c>
      <c r="B377" s="28" t="s">
        <v>733</v>
      </c>
      <c r="C377" s="28">
        <v>130911.0</v>
      </c>
      <c r="D377" s="28" t="s">
        <v>826</v>
      </c>
      <c r="E377" s="28" t="s">
        <v>827</v>
      </c>
      <c r="F377" s="28">
        <v>3.0</v>
      </c>
      <c r="G377" s="28" t="s">
        <v>41</v>
      </c>
      <c r="H377" s="28" t="s">
        <v>57</v>
      </c>
      <c r="I377" s="28" t="s">
        <v>57</v>
      </c>
      <c r="J377" s="28"/>
      <c r="K377" s="29" t="s">
        <v>58</v>
      </c>
      <c r="L377" s="26"/>
      <c r="M377" s="25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ht="18.0" customHeight="1">
      <c r="A378" s="27">
        <v>309.0</v>
      </c>
      <c r="B378" s="28" t="s">
        <v>733</v>
      </c>
      <c r="C378" s="28">
        <v>130915.0</v>
      </c>
      <c r="D378" s="28" t="s">
        <v>828</v>
      </c>
      <c r="E378" s="28" t="s">
        <v>829</v>
      </c>
      <c r="F378" s="28">
        <v>3.0</v>
      </c>
      <c r="G378" s="28" t="s">
        <v>41</v>
      </c>
      <c r="H378" s="28" t="s">
        <v>130</v>
      </c>
      <c r="I378" s="28" t="s">
        <v>53</v>
      </c>
      <c r="J378" s="28">
        <v>261189.0</v>
      </c>
      <c r="K378" s="29" t="s">
        <v>54</v>
      </c>
      <c r="L378" s="26"/>
      <c r="M378" s="25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ht="18.0" customHeight="1">
      <c r="A379" s="27">
        <v>309.0</v>
      </c>
      <c r="B379" s="28" t="s">
        <v>733</v>
      </c>
      <c r="C379" s="28">
        <v>30901.0</v>
      </c>
      <c r="D379" s="28" t="s">
        <v>830</v>
      </c>
      <c r="E379" s="28" t="s">
        <v>831</v>
      </c>
      <c r="F379" s="28">
        <v>4.0</v>
      </c>
      <c r="G379" s="28" t="s">
        <v>41</v>
      </c>
      <c r="H379" s="28" t="s">
        <v>130</v>
      </c>
      <c r="I379" s="28" t="s">
        <v>53</v>
      </c>
      <c r="J379" s="28">
        <v>270225.0</v>
      </c>
      <c r="K379" s="29" t="s">
        <v>54</v>
      </c>
      <c r="L379" s="26"/>
      <c r="M379" s="25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ht="18.0" customHeight="1">
      <c r="A380" s="27">
        <v>309.0</v>
      </c>
      <c r="B380" s="28" t="s">
        <v>733</v>
      </c>
      <c r="C380" s="28">
        <v>30902.0</v>
      </c>
      <c r="D380" s="28" t="s">
        <v>832</v>
      </c>
      <c r="E380" s="28" t="s">
        <v>833</v>
      </c>
      <c r="F380" s="28">
        <v>4.0</v>
      </c>
      <c r="G380" s="28" t="s">
        <v>41</v>
      </c>
      <c r="H380" s="28" t="s">
        <v>130</v>
      </c>
      <c r="I380" s="28" t="s">
        <v>53</v>
      </c>
      <c r="J380" s="28"/>
      <c r="K380" s="29" t="s">
        <v>54</v>
      </c>
      <c r="L380" s="26"/>
      <c r="M380" s="25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ht="18.0" customHeight="1">
      <c r="A381" s="27">
        <v>309.0</v>
      </c>
      <c r="B381" s="28" t="s">
        <v>733</v>
      </c>
      <c r="C381" s="28">
        <v>30904.0</v>
      </c>
      <c r="D381" s="28" t="s">
        <v>834</v>
      </c>
      <c r="E381" s="28" t="s">
        <v>835</v>
      </c>
      <c r="F381" s="28">
        <v>4.0</v>
      </c>
      <c r="G381" s="28" t="s">
        <v>41</v>
      </c>
      <c r="H381" s="28" t="s">
        <v>130</v>
      </c>
      <c r="I381" s="28" t="s">
        <v>53</v>
      </c>
      <c r="J381" s="28">
        <v>270230.0</v>
      </c>
      <c r="K381" s="29" t="s">
        <v>54</v>
      </c>
      <c r="L381" s="26"/>
      <c r="M381" s="25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ht="18.0" customHeight="1">
      <c r="A382" s="27">
        <v>309.0</v>
      </c>
      <c r="B382" s="28" t="s">
        <v>733</v>
      </c>
      <c r="C382" s="28">
        <v>30906.0</v>
      </c>
      <c r="D382" s="28" t="s">
        <v>836</v>
      </c>
      <c r="E382" s="28" t="s">
        <v>837</v>
      </c>
      <c r="F382" s="28">
        <v>4.0</v>
      </c>
      <c r="G382" s="28" t="s">
        <v>41</v>
      </c>
      <c r="H382" s="28" t="s">
        <v>130</v>
      </c>
      <c r="I382" s="28" t="s">
        <v>53</v>
      </c>
      <c r="J382" s="28">
        <v>270232.0</v>
      </c>
      <c r="K382" s="29" t="s">
        <v>54</v>
      </c>
      <c r="L382" s="26"/>
      <c r="M382" s="25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ht="18.0" customHeight="1">
      <c r="A383" s="27">
        <v>309.0</v>
      </c>
      <c r="B383" s="28" t="s">
        <v>733</v>
      </c>
      <c r="C383" s="28">
        <v>30910.0</v>
      </c>
      <c r="D383" s="28" t="s">
        <v>838</v>
      </c>
      <c r="E383" s="28" t="s">
        <v>839</v>
      </c>
      <c r="F383" s="28">
        <v>4.0</v>
      </c>
      <c r="G383" s="28" t="s">
        <v>41</v>
      </c>
      <c r="H383" s="28" t="s">
        <v>130</v>
      </c>
      <c r="I383" s="28" t="s">
        <v>53</v>
      </c>
      <c r="J383" s="28">
        <v>265292.0</v>
      </c>
      <c r="K383" s="29" t="s">
        <v>58</v>
      </c>
      <c r="L383" s="26"/>
      <c r="M383" s="25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ht="18.0" customHeight="1">
      <c r="A384" s="27">
        <v>310.0</v>
      </c>
      <c r="B384" s="28" t="s">
        <v>840</v>
      </c>
      <c r="C384" s="28">
        <v>231003.0</v>
      </c>
      <c r="D384" s="28" t="s">
        <v>841</v>
      </c>
      <c r="E384" s="28" t="s">
        <v>842</v>
      </c>
      <c r="F384" s="28">
        <v>2.0</v>
      </c>
      <c r="G384" s="28" t="s">
        <v>41</v>
      </c>
      <c r="H384" s="28" t="s">
        <v>222</v>
      </c>
      <c r="I384" s="28" t="s">
        <v>53</v>
      </c>
      <c r="J384" s="28">
        <v>239632.0</v>
      </c>
      <c r="K384" s="29" t="s">
        <v>54</v>
      </c>
      <c r="L384" s="26"/>
      <c r="M384" s="25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ht="18.0" customHeight="1">
      <c r="A385" s="27">
        <v>310.0</v>
      </c>
      <c r="B385" s="28" t="s">
        <v>840</v>
      </c>
      <c r="C385" s="28">
        <v>131005.0</v>
      </c>
      <c r="D385" s="28" t="s">
        <v>843</v>
      </c>
      <c r="E385" s="28" t="s">
        <v>844</v>
      </c>
      <c r="F385" s="28">
        <v>3.0</v>
      </c>
      <c r="G385" s="28" t="s">
        <v>41</v>
      </c>
      <c r="H385" s="28" t="s">
        <v>130</v>
      </c>
      <c r="I385" s="28" t="s">
        <v>53</v>
      </c>
      <c r="J385" s="28">
        <v>239623.0</v>
      </c>
      <c r="K385" s="29" t="s">
        <v>54</v>
      </c>
      <c r="L385" s="26"/>
      <c r="M385" s="25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ht="18.0" customHeight="1">
      <c r="A386" s="27">
        <v>310.0</v>
      </c>
      <c r="B386" s="28" t="s">
        <v>840</v>
      </c>
      <c r="C386" s="28">
        <v>131010.0</v>
      </c>
      <c r="D386" s="28" t="s">
        <v>845</v>
      </c>
      <c r="E386" s="28" t="s">
        <v>846</v>
      </c>
      <c r="F386" s="28">
        <v>3.0</v>
      </c>
      <c r="G386" s="28" t="s">
        <v>41</v>
      </c>
      <c r="H386" s="28" t="s">
        <v>130</v>
      </c>
      <c r="I386" s="28" t="s">
        <v>53</v>
      </c>
      <c r="J386" s="28">
        <v>239526.0</v>
      </c>
      <c r="K386" s="29" t="s">
        <v>54</v>
      </c>
      <c r="L386" s="26"/>
      <c r="M386" s="25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ht="18.0" customHeight="1">
      <c r="A387" s="27">
        <v>311.0</v>
      </c>
      <c r="B387" s="28" t="s">
        <v>847</v>
      </c>
      <c r="C387" s="28">
        <v>331101.0</v>
      </c>
      <c r="D387" s="28" t="s">
        <v>848</v>
      </c>
      <c r="E387" s="28" t="s">
        <v>849</v>
      </c>
      <c r="F387" s="28">
        <v>1.0</v>
      </c>
      <c r="G387" s="28" t="s">
        <v>41</v>
      </c>
      <c r="H387" s="28" t="s">
        <v>57</v>
      </c>
      <c r="I387" s="28" t="s">
        <v>57</v>
      </c>
      <c r="J387" s="28"/>
      <c r="K387" s="29" t="s">
        <v>58</v>
      </c>
      <c r="L387" s="26"/>
      <c r="M387" s="25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ht="18.0" customHeight="1">
      <c r="A388" s="27">
        <v>311.0</v>
      </c>
      <c r="B388" s="28" t="s">
        <v>847</v>
      </c>
      <c r="C388" s="28">
        <v>331102.0</v>
      </c>
      <c r="D388" s="28" t="s">
        <v>850</v>
      </c>
      <c r="E388" s="28" t="s">
        <v>851</v>
      </c>
      <c r="F388" s="28">
        <v>1.0</v>
      </c>
      <c r="G388" s="28" t="s">
        <v>41</v>
      </c>
      <c r="H388" s="28" t="s">
        <v>52</v>
      </c>
      <c r="I388" s="28" t="s">
        <v>53</v>
      </c>
      <c r="J388" s="28">
        <v>518926.0</v>
      </c>
      <c r="K388" s="29" t="s">
        <v>54</v>
      </c>
      <c r="L388" s="26"/>
      <c r="M388" s="25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ht="18.0" customHeight="1">
      <c r="A389" s="27">
        <v>311.0</v>
      </c>
      <c r="B389" s="28" t="s">
        <v>847</v>
      </c>
      <c r="C389" s="28">
        <v>331103.0</v>
      </c>
      <c r="D389" s="28" t="s">
        <v>852</v>
      </c>
      <c r="E389" s="28" t="s">
        <v>853</v>
      </c>
      <c r="F389" s="28">
        <v>1.0</v>
      </c>
      <c r="G389" s="28" t="s">
        <v>41</v>
      </c>
      <c r="H389" s="28" t="s">
        <v>57</v>
      </c>
      <c r="I389" s="28" t="s">
        <v>57</v>
      </c>
      <c r="J389" s="28"/>
      <c r="K389" s="29" t="s">
        <v>58</v>
      </c>
      <c r="L389" s="26"/>
      <c r="M389" s="25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ht="18.0" customHeight="1">
      <c r="A390" s="27">
        <v>311.0</v>
      </c>
      <c r="B390" s="28" t="s">
        <v>847</v>
      </c>
      <c r="C390" s="28">
        <v>331104.0</v>
      </c>
      <c r="D390" s="28" t="s">
        <v>854</v>
      </c>
      <c r="E390" s="28" t="s">
        <v>855</v>
      </c>
      <c r="F390" s="28">
        <v>1.0</v>
      </c>
      <c r="G390" s="28" t="s">
        <v>41</v>
      </c>
      <c r="H390" s="28" t="s">
        <v>57</v>
      </c>
      <c r="I390" s="28" t="s">
        <v>57</v>
      </c>
      <c r="J390" s="28"/>
      <c r="K390" s="29" t="s">
        <v>58</v>
      </c>
      <c r="L390" s="26"/>
      <c r="M390" s="25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ht="18.0" customHeight="1">
      <c r="A391" s="27">
        <v>311.0</v>
      </c>
      <c r="B391" s="28" t="s">
        <v>847</v>
      </c>
      <c r="C391" s="28">
        <v>331105.0</v>
      </c>
      <c r="D391" s="28" t="s">
        <v>856</v>
      </c>
      <c r="E391" s="28" t="s">
        <v>857</v>
      </c>
      <c r="F391" s="28">
        <v>1.0</v>
      </c>
      <c r="G391" s="28" t="s">
        <v>41</v>
      </c>
      <c r="H391" s="28" t="s">
        <v>57</v>
      </c>
      <c r="I391" s="28" t="s">
        <v>57</v>
      </c>
      <c r="J391" s="28"/>
      <c r="K391" s="29" t="s">
        <v>58</v>
      </c>
      <c r="L391" s="26"/>
      <c r="M391" s="25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ht="18.0" customHeight="1">
      <c r="A392" s="27">
        <v>311.0</v>
      </c>
      <c r="B392" s="28" t="s">
        <v>847</v>
      </c>
      <c r="C392" s="28">
        <v>331106.0</v>
      </c>
      <c r="D392" s="28" t="s">
        <v>858</v>
      </c>
      <c r="E392" s="28" t="s">
        <v>859</v>
      </c>
      <c r="F392" s="28">
        <v>1.0</v>
      </c>
      <c r="G392" s="28" t="s">
        <v>41</v>
      </c>
      <c r="H392" s="28" t="s">
        <v>52</v>
      </c>
      <c r="I392" s="28" t="s">
        <v>53</v>
      </c>
      <c r="J392" s="28">
        <v>519374.0</v>
      </c>
      <c r="K392" s="29" t="s">
        <v>54</v>
      </c>
      <c r="L392" s="26"/>
      <c r="M392" s="25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ht="18.0" customHeight="1">
      <c r="A393" s="27">
        <v>311.0</v>
      </c>
      <c r="B393" s="28" t="s">
        <v>847</v>
      </c>
      <c r="C393" s="28">
        <v>331107.0</v>
      </c>
      <c r="D393" s="28" t="s">
        <v>860</v>
      </c>
      <c r="E393" s="28" t="s">
        <v>861</v>
      </c>
      <c r="F393" s="28">
        <v>1.0</v>
      </c>
      <c r="G393" s="28" t="s">
        <v>41</v>
      </c>
      <c r="H393" s="28" t="s">
        <v>52</v>
      </c>
      <c r="I393" s="28" t="s">
        <v>53</v>
      </c>
      <c r="J393" s="28">
        <v>518928.0</v>
      </c>
      <c r="K393" s="29" t="s">
        <v>54</v>
      </c>
      <c r="L393" s="26"/>
      <c r="M393" s="25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ht="18.0" customHeight="1">
      <c r="A394" s="27">
        <v>311.0</v>
      </c>
      <c r="B394" s="28" t="s">
        <v>847</v>
      </c>
      <c r="C394" s="28">
        <v>331108.0</v>
      </c>
      <c r="D394" s="28" t="s">
        <v>862</v>
      </c>
      <c r="E394" s="28" t="s">
        <v>863</v>
      </c>
      <c r="F394" s="28">
        <v>1.0</v>
      </c>
      <c r="G394" s="28" t="s">
        <v>44</v>
      </c>
      <c r="H394" s="28" t="s">
        <v>57</v>
      </c>
      <c r="I394" s="28" t="s">
        <v>57</v>
      </c>
      <c r="J394" s="28"/>
      <c r="K394" s="29" t="s">
        <v>58</v>
      </c>
      <c r="L394" s="26"/>
      <c r="M394" s="25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ht="18.0" customHeight="1">
      <c r="A395" s="27">
        <v>311.0</v>
      </c>
      <c r="B395" s="28" t="s">
        <v>847</v>
      </c>
      <c r="C395" s="28">
        <v>331109.0</v>
      </c>
      <c r="D395" s="28" t="s">
        <v>864</v>
      </c>
      <c r="E395" s="28" t="s">
        <v>865</v>
      </c>
      <c r="F395" s="28">
        <v>1.0</v>
      </c>
      <c r="G395" s="28" t="s">
        <v>44</v>
      </c>
      <c r="H395" s="28" t="s">
        <v>61</v>
      </c>
      <c r="I395" s="28" t="s">
        <v>53</v>
      </c>
      <c r="J395" s="28">
        <v>519524.0</v>
      </c>
      <c r="K395" s="29" t="s">
        <v>54</v>
      </c>
      <c r="L395" s="26"/>
      <c r="M395" s="25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ht="18.0" customHeight="1">
      <c r="A396" s="27">
        <v>311.0</v>
      </c>
      <c r="B396" s="28" t="s">
        <v>847</v>
      </c>
      <c r="C396" s="28">
        <v>331110.0</v>
      </c>
      <c r="D396" s="28" t="s">
        <v>866</v>
      </c>
      <c r="E396" s="28" t="s">
        <v>867</v>
      </c>
      <c r="F396" s="28">
        <v>1.0</v>
      </c>
      <c r="G396" s="28" t="s">
        <v>44</v>
      </c>
      <c r="H396" s="28" t="s">
        <v>61</v>
      </c>
      <c r="I396" s="28" t="s">
        <v>53</v>
      </c>
      <c r="J396" s="28">
        <v>518930.0</v>
      </c>
      <c r="K396" s="29" t="s">
        <v>54</v>
      </c>
      <c r="L396" s="26"/>
      <c r="M396" s="25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ht="18.0" customHeight="1">
      <c r="A397" s="27">
        <v>311.0</v>
      </c>
      <c r="B397" s="28" t="s">
        <v>847</v>
      </c>
      <c r="C397" s="28">
        <v>331111.0</v>
      </c>
      <c r="D397" s="28" t="s">
        <v>868</v>
      </c>
      <c r="E397" s="28" t="s">
        <v>869</v>
      </c>
      <c r="F397" s="28">
        <v>1.0</v>
      </c>
      <c r="G397" s="28" t="s">
        <v>41</v>
      </c>
      <c r="H397" s="28" t="s">
        <v>52</v>
      </c>
      <c r="I397" s="28" t="s">
        <v>53</v>
      </c>
      <c r="J397" s="28">
        <v>519378.0</v>
      </c>
      <c r="K397" s="29" t="s">
        <v>54</v>
      </c>
      <c r="L397" s="26"/>
      <c r="M397" s="25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ht="18.0" customHeight="1">
      <c r="A398" s="27">
        <v>311.0</v>
      </c>
      <c r="B398" s="28" t="s">
        <v>847</v>
      </c>
      <c r="C398" s="28">
        <v>331112.0</v>
      </c>
      <c r="D398" s="28" t="s">
        <v>870</v>
      </c>
      <c r="E398" s="28" t="s">
        <v>871</v>
      </c>
      <c r="F398" s="28">
        <v>1.0</v>
      </c>
      <c r="G398" s="28" t="s">
        <v>41</v>
      </c>
      <c r="H398" s="28" t="s">
        <v>52</v>
      </c>
      <c r="I398" s="28" t="s">
        <v>53</v>
      </c>
      <c r="J398" s="28">
        <v>518927.0</v>
      </c>
      <c r="K398" s="29" t="s">
        <v>54</v>
      </c>
      <c r="L398" s="26"/>
      <c r="M398" s="25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ht="18.0" customHeight="1">
      <c r="A399" s="27">
        <v>311.0</v>
      </c>
      <c r="B399" s="28" t="s">
        <v>847</v>
      </c>
      <c r="C399" s="28">
        <v>231101.0</v>
      </c>
      <c r="D399" s="28" t="s">
        <v>872</v>
      </c>
      <c r="E399" s="28" t="s">
        <v>873</v>
      </c>
      <c r="F399" s="28">
        <v>2.0</v>
      </c>
      <c r="G399" s="28" t="s">
        <v>41</v>
      </c>
      <c r="H399" s="28" t="s">
        <v>57</v>
      </c>
      <c r="I399" s="28" t="s">
        <v>57</v>
      </c>
      <c r="J399" s="28"/>
      <c r="K399" s="29" t="s">
        <v>58</v>
      </c>
      <c r="L399" s="26"/>
      <c r="M399" s="25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ht="18.0" customHeight="1">
      <c r="A400" s="27">
        <v>311.0</v>
      </c>
      <c r="B400" s="28" t="s">
        <v>847</v>
      </c>
      <c r="C400" s="28">
        <v>231108.0</v>
      </c>
      <c r="D400" s="28" t="s">
        <v>874</v>
      </c>
      <c r="E400" s="28" t="s">
        <v>875</v>
      </c>
      <c r="F400" s="28">
        <v>2.0</v>
      </c>
      <c r="G400" s="28" t="s">
        <v>41</v>
      </c>
      <c r="H400" s="28" t="s">
        <v>57</v>
      </c>
      <c r="I400" s="28" t="s">
        <v>57</v>
      </c>
      <c r="J400" s="28"/>
      <c r="K400" s="29" t="s">
        <v>58</v>
      </c>
      <c r="L400" s="26"/>
      <c r="M400" s="25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ht="18.0" customHeight="1">
      <c r="A401" s="27">
        <v>311.0</v>
      </c>
      <c r="B401" s="28" t="s">
        <v>847</v>
      </c>
      <c r="C401" s="28">
        <v>231109.0</v>
      </c>
      <c r="D401" s="28" t="s">
        <v>876</v>
      </c>
      <c r="E401" s="28" t="s">
        <v>877</v>
      </c>
      <c r="F401" s="28">
        <v>2.0</v>
      </c>
      <c r="G401" s="28" t="s">
        <v>41</v>
      </c>
      <c r="H401" s="28" t="s">
        <v>57</v>
      </c>
      <c r="I401" s="28" t="s">
        <v>57</v>
      </c>
      <c r="J401" s="28"/>
      <c r="K401" s="29" t="s">
        <v>58</v>
      </c>
      <c r="L401" s="26"/>
      <c r="M401" s="25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ht="18.0" customHeight="1">
      <c r="A402" s="27">
        <v>311.0</v>
      </c>
      <c r="B402" s="28" t="s">
        <v>847</v>
      </c>
      <c r="C402" s="28">
        <v>231110.0</v>
      </c>
      <c r="D402" s="28" t="s">
        <v>878</v>
      </c>
      <c r="E402" s="28" t="s">
        <v>879</v>
      </c>
      <c r="F402" s="28">
        <v>2.0</v>
      </c>
      <c r="G402" s="28" t="s">
        <v>41</v>
      </c>
      <c r="H402" s="28" t="s">
        <v>57</v>
      </c>
      <c r="I402" s="28" t="s">
        <v>57</v>
      </c>
      <c r="J402" s="28"/>
      <c r="K402" s="29" t="s">
        <v>58</v>
      </c>
      <c r="L402" s="26"/>
      <c r="M402" s="25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ht="18.0" customHeight="1">
      <c r="A403" s="27">
        <v>311.0</v>
      </c>
      <c r="B403" s="28" t="s">
        <v>847</v>
      </c>
      <c r="C403" s="28">
        <v>231113.0</v>
      </c>
      <c r="D403" s="28" t="s">
        <v>880</v>
      </c>
      <c r="E403" s="28" t="s">
        <v>881</v>
      </c>
      <c r="F403" s="28">
        <v>2.0</v>
      </c>
      <c r="G403" s="28" t="s">
        <v>41</v>
      </c>
      <c r="H403" s="28" t="s">
        <v>130</v>
      </c>
      <c r="I403" s="28" t="s">
        <v>53</v>
      </c>
      <c r="J403" s="28">
        <v>519526.0</v>
      </c>
      <c r="K403" s="29" t="s">
        <v>54</v>
      </c>
      <c r="L403" s="26"/>
      <c r="M403" s="25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ht="18.0" customHeight="1">
      <c r="A404" s="27">
        <v>311.0</v>
      </c>
      <c r="B404" s="28" t="s">
        <v>847</v>
      </c>
      <c r="C404" s="28">
        <v>231115.0</v>
      </c>
      <c r="D404" s="28" t="s">
        <v>882</v>
      </c>
      <c r="E404" s="28" t="s">
        <v>883</v>
      </c>
      <c r="F404" s="28">
        <v>2.0</v>
      </c>
      <c r="G404" s="28" t="s">
        <v>41</v>
      </c>
      <c r="H404" s="28" t="s">
        <v>57</v>
      </c>
      <c r="I404" s="28" t="s">
        <v>57</v>
      </c>
      <c r="J404" s="28"/>
      <c r="K404" s="29" t="s">
        <v>58</v>
      </c>
      <c r="L404" s="26"/>
      <c r="M404" s="25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ht="18.0" customHeight="1">
      <c r="A405" s="27">
        <v>311.0</v>
      </c>
      <c r="B405" s="28" t="s">
        <v>847</v>
      </c>
      <c r="C405" s="28">
        <v>231116.0</v>
      </c>
      <c r="D405" s="28" t="s">
        <v>884</v>
      </c>
      <c r="E405" s="28" t="s">
        <v>885</v>
      </c>
      <c r="F405" s="28">
        <v>2.0</v>
      </c>
      <c r="G405" s="28" t="s">
        <v>41</v>
      </c>
      <c r="H405" s="28" t="s">
        <v>57</v>
      </c>
      <c r="I405" s="28" t="s">
        <v>57</v>
      </c>
      <c r="J405" s="28"/>
      <c r="K405" s="29" t="s">
        <v>58</v>
      </c>
      <c r="L405" s="26"/>
      <c r="M405" s="25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ht="18.0" customHeight="1">
      <c r="A406" s="27">
        <v>311.0</v>
      </c>
      <c r="B406" s="28" t="s">
        <v>847</v>
      </c>
      <c r="C406" s="28">
        <v>231119.0</v>
      </c>
      <c r="D406" s="28" t="s">
        <v>886</v>
      </c>
      <c r="E406" s="28" t="s">
        <v>887</v>
      </c>
      <c r="F406" s="28">
        <v>2.0</v>
      </c>
      <c r="G406" s="28" t="s">
        <v>41</v>
      </c>
      <c r="H406" s="28" t="s">
        <v>57</v>
      </c>
      <c r="I406" s="28" t="s">
        <v>57</v>
      </c>
      <c r="J406" s="28"/>
      <c r="K406" s="29" t="s">
        <v>58</v>
      </c>
      <c r="L406" s="26"/>
      <c r="M406" s="25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ht="18.0" customHeight="1">
      <c r="A407" s="27">
        <v>311.0</v>
      </c>
      <c r="B407" s="28" t="s">
        <v>847</v>
      </c>
      <c r="C407" s="28">
        <v>231120.0</v>
      </c>
      <c r="D407" s="28" t="s">
        <v>888</v>
      </c>
      <c r="E407" s="28" t="s">
        <v>889</v>
      </c>
      <c r="F407" s="28">
        <v>2.0</v>
      </c>
      <c r="G407" s="28" t="s">
        <v>41</v>
      </c>
      <c r="H407" s="28" t="s">
        <v>57</v>
      </c>
      <c r="I407" s="28" t="s">
        <v>57</v>
      </c>
      <c r="J407" s="28"/>
      <c r="K407" s="29" t="s">
        <v>58</v>
      </c>
      <c r="L407" s="26"/>
      <c r="M407" s="25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ht="18.0" customHeight="1">
      <c r="A408" s="27">
        <v>311.0</v>
      </c>
      <c r="B408" s="28" t="s">
        <v>847</v>
      </c>
      <c r="C408" s="28">
        <v>231121.0</v>
      </c>
      <c r="D408" s="28" t="s">
        <v>890</v>
      </c>
      <c r="E408" s="28" t="s">
        <v>891</v>
      </c>
      <c r="F408" s="28">
        <v>2.0</v>
      </c>
      <c r="G408" s="28" t="s">
        <v>44</v>
      </c>
      <c r="H408" s="28" t="s">
        <v>57</v>
      </c>
      <c r="I408" s="28" t="s">
        <v>57</v>
      </c>
      <c r="J408" s="28"/>
      <c r="K408" s="29" t="s">
        <v>58</v>
      </c>
      <c r="L408" s="26"/>
      <c r="M408" s="25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ht="18.0" customHeight="1">
      <c r="A409" s="27">
        <v>311.0</v>
      </c>
      <c r="B409" s="28" t="s">
        <v>847</v>
      </c>
      <c r="C409" s="28">
        <v>231123.0</v>
      </c>
      <c r="D409" s="28" t="s">
        <v>892</v>
      </c>
      <c r="E409" s="28" t="s">
        <v>893</v>
      </c>
      <c r="F409" s="28">
        <v>2.0</v>
      </c>
      <c r="G409" s="28" t="s">
        <v>41</v>
      </c>
      <c r="H409" s="28" t="s">
        <v>57</v>
      </c>
      <c r="I409" s="28" t="s">
        <v>57</v>
      </c>
      <c r="J409" s="28"/>
      <c r="K409" s="29" t="s">
        <v>58</v>
      </c>
      <c r="L409" s="26"/>
      <c r="M409" s="25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ht="18.0" customHeight="1">
      <c r="A410" s="27">
        <v>311.0</v>
      </c>
      <c r="B410" s="28" t="s">
        <v>847</v>
      </c>
      <c r="C410" s="28">
        <v>231124.0</v>
      </c>
      <c r="D410" s="28" t="s">
        <v>894</v>
      </c>
      <c r="E410" s="28" t="s">
        <v>895</v>
      </c>
      <c r="F410" s="28">
        <v>2.0</v>
      </c>
      <c r="G410" s="28" t="s">
        <v>44</v>
      </c>
      <c r="H410" s="28" t="s">
        <v>119</v>
      </c>
      <c r="I410" s="28" t="s">
        <v>53</v>
      </c>
      <c r="J410" s="28">
        <v>524969.0</v>
      </c>
      <c r="K410" s="29" t="s">
        <v>54</v>
      </c>
      <c r="L410" s="26"/>
      <c r="M410" s="25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ht="18.0" customHeight="1">
      <c r="A411" s="27">
        <v>311.0</v>
      </c>
      <c r="B411" s="28" t="s">
        <v>847</v>
      </c>
      <c r="C411" s="28">
        <v>231125.0</v>
      </c>
      <c r="D411" s="28" t="s">
        <v>896</v>
      </c>
      <c r="E411" s="28" t="s">
        <v>897</v>
      </c>
      <c r="F411" s="28">
        <v>2.0</v>
      </c>
      <c r="G411" s="28" t="s">
        <v>41</v>
      </c>
      <c r="H411" s="28" t="s">
        <v>57</v>
      </c>
      <c r="I411" s="28" t="s">
        <v>57</v>
      </c>
      <c r="J411" s="28"/>
      <c r="K411" s="29" t="s">
        <v>58</v>
      </c>
      <c r="L411" s="26"/>
      <c r="M411" s="25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ht="18.0" customHeight="1">
      <c r="A412" s="27">
        <v>311.0</v>
      </c>
      <c r="B412" s="28" t="s">
        <v>847</v>
      </c>
      <c r="C412" s="28">
        <v>231127.0</v>
      </c>
      <c r="D412" s="28" t="s">
        <v>898</v>
      </c>
      <c r="E412" s="28" t="s">
        <v>899</v>
      </c>
      <c r="F412" s="28">
        <v>2.0</v>
      </c>
      <c r="G412" s="28" t="s">
        <v>41</v>
      </c>
      <c r="H412" s="28" t="s">
        <v>130</v>
      </c>
      <c r="I412" s="28" t="s">
        <v>53</v>
      </c>
      <c r="J412" s="28">
        <v>524971.0</v>
      </c>
      <c r="K412" s="29" t="s">
        <v>54</v>
      </c>
      <c r="L412" s="26"/>
      <c r="M412" s="25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ht="18.0" customHeight="1">
      <c r="A413" s="27">
        <v>311.0</v>
      </c>
      <c r="B413" s="28" t="s">
        <v>847</v>
      </c>
      <c r="C413" s="28">
        <v>231128.0</v>
      </c>
      <c r="D413" s="28" t="s">
        <v>900</v>
      </c>
      <c r="E413" s="28" t="s">
        <v>901</v>
      </c>
      <c r="F413" s="28">
        <v>2.0</v>
      </c>
      <c r="G413" s="28" t="s">
        <v>44</v>
      </c>
      <c r="H413" s="28" t="s">
        <v>57</v>
      </c>
      <c r="I413" s="28" t="s">
        <v>57</v>
      </c>
      <c r="J413" s="28"/>
      <c r="K413" s="29" t="s">
        <v>58</v>
      </c>
      <c r="L413" s="26"/>
      <c r="M413" s="25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ht="18.0" customHeight="1">
      <c r="A414" s="27">
        <v>311.0</v>
      </c>
      <c r="B414" s="28" t="s">
        <v>847</v>
      </c>
      <c r="C414" s="28">
        <v>231130.0</v>
      </c>
      <c r="D414" s="28" t="s">
        <v>902</v>
      </c>
      <c r="E414" s="28" t="s">
        <v>903</v>
      </c>
      <c r="F414" s="28">
        <v>2.0</v>
      </c>
      <c r="G414" s="28" t="s">
        <v>41</v>
      </c>
      <c r="H414" s="28" t="s">
        <v>57</v>
      </c>
      <c r="I414" s="28" t="s">
        <v>57</v>
      </c>
      <c r="J414" s="28"/>
      <c r="K414" s="29" t="s">
        <v>58</v>
      </c>
      <c r="L414" s="26"/>
      <c r="M414" s="25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ht="18.0" customHeight="1">
      <c r="A415" s="27">
        <v>311.0</v>
      </c>
      <c r="B415" s="28" t="s">
        <v>847</v>
      </c>
      <c r="C415" s="28">
        <v>231134.0</v>
      </c>
      <c r="D415" s="28" t="s">
        <v>904</v>
      </c>
      <c r="E415" s="28" t="s">
        <v>905</v>
      </c>
      <c r="F415" s="28">
        <v>2.0</v>
      </c>
      <c r="G415" s="28" t="s">
        <v>44</v>
      </c>
      <c r="H415" s="28" t="s">
        <v>119</v>
      </c>
      <c r="I415" s="28" t="s">
        <v>53</v>
      </c>
      <c r="J415" s="28">
        <v>524975.0</v>
      </c>
      <c r="K415" s="29" t="s">
        <v>54</v>
      </c>
      <c r="L415" s="26"/>
      <c r="M415" s="25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ht="18.0" customHeight="1">
      <c r="A416" s="27">
        <v>311.0</v>
      </c>
      <c r="B416" s="28" t="s">
        <v>847</v>
      </c>
      <c r="C416" s="28">
        <v>231135.0</v>
      </c>
      <c r="D416" s="28" t="s">
        <v>906</v>
      </c>
      <c r="E416" s="28" t="s">
        <v>907</v>
      </c>
      <c r="F416" s="28">
        <v>2.0</v>
      </c>
      <c r="G416" s="28" t="s">
        <v>41</v>
      </c>
      <c r="H416" s="28" t="s">
        <v>57</v>
      </c>
      <c r="I416" s="28" t="s">
        <v>57</v>
      </c>
      <c r="J416" s="28"/>
      <c r="K416" s="29" t="s">
        <v>58</v>
      </c>
      <c r="L416" s="26"/>
      <c r="M416" s="25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ht="18.0" customHeight="1">
      <c r="A417" s="27">
        <v>311.0</v>
      </c>
      <c r="B417" s="28" t="s">
        <v>847</v>
      </c>
      <c r="C417" s="28">
        <v>131101.0</v>
      </c>
      <c r="D417" s="28" t="s">
        <v>908</v>
      </c>
      <c r="E417" s="28" t="s">
        <v>909</v>
      </c>
      <c r="F417" s="28">
        <v>3.0</v>
      </c>
      <c r="G417" s="28" t="s">
        <v>41</v>
      </c>
      <c r="H417" s="28" t="s">
        <v>130</v>
      </c>
      <c r="I417" s="28" t="s">
        <v>53</v>
      </c>
      <c r="J417" s="28">
        <v>519521.0</v>
      </c>
      <c r="K417" s="29" t="s">
        <v>58</v>
      </c>
      <c r="L417" s="26"/>
      <c r="M417" s="25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ht="18.0" customHeight="1">
      <c r="A418" s="27">
        <v>311.0</v>
      </c>
      <c r="B418" s="28" t="s">
        <v>847</v>
      </c>
      <c r="C418" s="28">
        <v>131103.0</v>
      </c>
      <c r="D418" s="28" t="s">
        <v>910</v>
      </c>
      <c r="E418" s="28" t="s">
        <v>911</v>
      </c>
      <c r="F418" s="28">
        <v>3.0</v>
      </c>
      <c r="G418" s="28" t="s">
        <v>41</v>
      </c>
      <c r="H418" s="28" t="s">
        <v>57</v>
      </c>
      <c r="I418" s="28" t="s">
        <v>57</v>
      </c>
      <c r="J418" s="28"/>
      <c r="K418" s="29" t="s">
        <v>58</v>
      </c>
      <c r="L418" s="26"/>
      <c r="M418" s="25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ht="18.0" customHeight="1">
      <c r="A419" s="27">
        <v>311.0</v>
      </c>
      <c r="B419" s="28" t="s">
        <v>847</v>
      </c>
      <c r="C419" s="28">
        <v>131104.0</v>
      </c>
      <c r="D419" s="28" t="s">
        <v>912</v>
      </c>
      <c r="E419" s="28" t="s">
        <v>913</v>
      </c>
      <c r="F419" s="28">
        <v>3.0</v>
      </c>
      <c r="G419" s="28" t="s">
        <v>44</v>
      </c>
      <c r="H419" s="28" t="s">
        <v>119</v>
      </c>
      <c r="I419" s="28" t="s">
        <v>53</v>
      </c>
      <c r="J419" s="28">
        <v>519372.0</v>
      </c>
      <c r="K419" s="29" t="s">
        <v>54</v>
      </c>
      <c r="L419" s="26"/>
      <c r="M419" s="25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ht="18.0" customHeight="1">
      <c r="A420" s="27">
        <v>311.0</v>
      </c>
      <c r="B420" s="28" t="s">
        <v>847</v>
      </c>
      <c r="C420" s="28">
        <v>131105.0</v>
      </c>
      <c r="D420" s="28" t="s">
        <v>914</v>
      </c>
      <c r="E420" s="28" t="s">
        <v>915</v>
      </c>
      <c r="F420" s="28">
        <v>3.0</v>
      </c>
      <c r="G420" s="28" t="s">
        <v>44</v>
      </c>
      <c r="H420" s="28" t="s">
        <v>119</v>
      </c>
      <c r="I420" s="28" t="s">
        <v>53</v>
      </c>
      <c r="J420" s="28">
        <v>519530.0</v>
      </c>
      <c r="K420" s="29" t="s">
        <v>54</v>
      </c>
      <c r="L420" s="26"/>
      <c r="M420" s="25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ht="18.0" customHeight="1">
      <c r="A421" s="27">
        <v>311.0</v>
      </c>
      <c r="B421" s="28" t="s">
        <v>847</v>
      </c>
      <c r="C421" s="28">
        <v>131106.0</v>
      </c>
      <c r="D421" s="28" t="s">
        <v>916</v>
      </c>
      <c r="E421" s="28" t="s">
        <v>917</v>
      </c>
      <c r="F421" s="28">
        <v>3.0</v>
      </c>
      <c r="G421" s="28" t="s">
        <v>41</v>
      </c>
      <c r="H421" s="28" t="s">
        <v>57</v>
      </c>
      <c r="I421" s="28" t="s">
        <v>57</v>
      </c>
      <c r="J421" s="28"/>
      <c r="K421" s="29" t="s">
        <v>58</v>
      </c>
      <c r="L421" s="26"/>
      <c r="M421" s="25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ht="18.0" customHeight="1">
      <c r="A422" s="27">
        <v>311.0</v>
      </c>
      <c r="B422" s="28" t="s">
        <v>847</v>
      </c>
      <c r="C422" s="28">
        <v>131108.0</v>
      </c>
      <c r="D422" s="28" t="s">
        <v>918</v>
      </c>
      <c r="E422" s="28" t="s">
        <v>919</v>
      </c>
      <c r="F422" s="28">
        <v>3.0</v>
      </c>
      <c r="G422" s="28" t="s">
        <v>41</v>
      </c>
      <c r="H422" s="28" t="s">
        <v>57</v>
      </c>
      <c r="I422" s="28" t="s">
        <v>57</v>
      </c>
      <c r="J422" s="28"/>
      <c r="K422" s="29" t="s">
        <v>58</v>
      </c>
      <c r="L422" s="26"/>
      <c r="M422" s="25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ht="18.0" customHeight="1">
      <c r="A423" s="27">
        <v>311.0</v>
      </c>
      <c r="B423" s="28" t="s">
        <v>847</v>
      </c>
      <c r="C423" s="28">
        <v>131109.0</v>
      </c>
      <c r="D423" s="28" t="s">
        <v>920</v>
      </c>
      <c r="E423" s="28" t="s">
        <v>921</v>
      </c>
      <c r="F423" s="28">
        <v>3.0</v>
      </c>
      <c r="G423" s="28" t="s">
        <v>41</v>
      </c>
      <c r="H423" s="28" t="s">
        <v>130</v>
      </c>
      <c r="I423" s="28" t="s">
        <v>53</v>
      </c>
      <c r="J423" s="28">
        <v>519534.0</v>
      </c>
      <c r="K423" s="29" t="s">
        <v>54</v>
      </c>
      <c r="L423" s="26"/>
      <c r="M423" s="25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ht="18.0" customHeight="1">
      <c r="A424" s="27">
        <v>311.0</v>
      </c>
      <c r="B424" s="28" t="s">
        <v>847</v>
      </c>
      <c r="C424" s="28">
        <v>131111.0</v>
      </c>
      <c r="D424" s="28" t="s">
        <v>922</v>
      </c>
      <c r="E424" s="28" t="s">
        <v>923</v>
      </c>
      <c r="F424" s="28">
        <v>3.0</v>
      </c>
      <c r="G424" s="28" t="s">
        <v>41</v>
      </c>
      <c r="H424" s="28" t="s">
        <v>130</v>
      </c>
      <c r="I424" s="28" t="s">
        <v>53</v>
      </c>
      <c r="J424" s="28">
        <v>519527.0</v>
      </c>
      <c r="K424" s="29" t="s">
        <v>54</v>
      </c>
      <c r="L424" s="26"/>
      <c r="M424" s="25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ht="18.0" customHeight="1">
      <c r="A425" s="27">
        <v>311.0</v>
      </c>
      <c r="B425" s="28" t="s">
        <v>847</v>
      </c>
      <c r="C425" s="28">
        <v>131112.0</v>
      </c>
      <c r="D425" s="28" t="s">
        <v>924</v>
      </c>
      <c r="E425" s="28" t="s">
        <v>925</v>
      </c>
      <c r="F425" s="28">
        <v>3.0</v>
      </c>
      <c r="G425" s="28" t="s">
        <v>41</v>
      </c>
      <c r="H425" s="28" t="s">
        <v>57</v>
      </c>
      <c r="I425" s="28" t="s">
        <v>57</v>
      </c>
      <c r="J425" s="28"/>
      <c r="K425" s="29" t="s">
        <v>58</v>
      </c>
      <c r="L425" s="26"/>
      <c r="M425" s="25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ht="18.0" customHeight="1">
      <c r="A426" s="27">
        <v>313.0</v>
      </c>
      <c r="B426" s="28" t="s">
        <v>926</v>
      </c>
      <c r="C426" s="28">
        <v>331301.0</v>
      </c>
      <c r="D426" s="28" t="s">
        <v>927</v>
      </c>
      <c r="E426" s="28" t="s">
        <v>928</v>
      </c>
      <c r="F426" s="28">
        <v>1.0</v>
      </c>
      <c r="G426" s="28" t="s">
        <v>41</v>
      </c>
      <c r="H426" s="28" t="s">
        <v>57</v>
      </c>
      <c r="I426" s="28" t="s">
        <v>57</v>
      </c>
      <c r="J426" s="28"/>
      <c r="K426" s="29" t="s">
        <v>58</v>
      </c>
      <c r="L426" s="26"/>
      <c r="M426" s="25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ht="18.0" customHeight="1">
      <c r="A427" s="27">
        <v>313.0</v>
      </c>
      <c r="B427" s="28" t="s">
        <v>926</v>
      </c>
      <c r="C427" s="28">
        <v>231302.0</v>
      </c>
      <c r="D427" s="28" t="s">
        <v>929</v>
      </c>
      <c r="E427" s="28" t="s">
        <v>930</v>
      </c>
      <c r="F427" s="28">
        <v>2.0</v>
      </c>
      <c r="G427" s="28" t="s">
        <v>41</v>
      </c>
      <c r="H427" s="28" t="s">
        <v>130</v>
      </c>
      <c r="I427" s="28" t="s">
        <v>53</v>
      </c>
      <c r="J427" s="28">
        <v>265844.0</v>
      </c>
      <c r="K427" s="29" t="s">
        <v>54</v>
      </c>
      <c r="L427" s="26"/>
      <c r="M427" s="25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ht="18.0" customHeight="1">
      <c r="A428" s="27">
        <v>313.0</v>
      </c>
      <c r="B428" s="28" t="s">
        <v>926</v>
      </c>
      <c r="C428" s="28">
        <v>231304.0</v>
      </c>
      <c r="D428" s="28" t="s">
        <v>931</v>
      </c>
      <c r="E428" s="28" t="s">
        <v>932</v>
      </c>
      <c r="F428" s="28">
        <v>2.0</v>
      </c>
      <c r="G428" s="28" t="s">
        <v>41</v>
      </c>
      <c r="H428" s="28" t="s">
        <v>130</v>
      </c>
      <c r="I428" s="28" t="s">
        <v>53</v>
      </c>
      <c r="J428" s="28"/>
      <c r="K428" s="29" t="s">
        <v>54</v>
      </c>
      <c r="L428" s="26"/>
      <c r="M428" s="25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ht="18.0" customHeight="1">
      <c r="A429" s="27">
        <v>313.0</v>
      </c>
      <c r="B429" s="28" t="s">
        <v>926</v>
      </c>
      <c r="C429" s="28">
        <v>231307.0</v>
      </c>
      <c r="D429" s="28" t="s">
        <v>933</v>
      </c>
      <c r="E429" s="28" t="s">
        <v>934</v>
      </c>
      <c r="F429" s="28">
        <v>2.0</v>
      </c>
      <c r="G429" s="28" t="s">
        <v>41</v>
      </c>
      <c r="H429" s="28" t="s">
        <v>57</v>
      </c>
      <c r="I429" s="28" t="s">
        <v>57</v>
      </c>
      <c r="J429" s="28"/>
      <c r="K429" s="29" t="s">
        <v>58</v>
      </c>
      <c r="L429" s="26"/>
      <c r="M429" s="25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ht="18.0" customHeight="1">
      <c r="A430" s="27">
        <v>313.0</v>
      </c>
      <c r="B430" s="28" t="s">
        <v>926</v>
      </c>
      <c r="C430" s="28">
        <v>231309.0</v>
      </c>
      <c r="D430" s="28" t="s">
        <v>935</v>
      </c>
      <c r="E430" s="28" t="s">
        <v>936</v>
      </c>
      <c r="F430" s="28">
        <v>2.0</v>
      </c>
      <c r="G430" s="28" t="s">
        <v>44</v>
      </c>
      <c r="H430" s="28" t="s">
        <v>119</v>
      </c>
      <c r="I430" s="28" t="s">
        <v>53</v>
      </c>
      <c r="J430" s="28">
        <v>261196.0</v>
      </c>
      <c r="K430" s="29" t="s">
        <v>54</v>
      </c>
      <c r="L430" s="26"/>
      <c r="M430" s="25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ht="18.0" customHeight="1">
      <c r="A431" s="27">
        <v>313.0</v>
      </c>
      <c r="B431" s="28" t="s">
        <v>926</v>
      </c>
      <c r="C431" s="28">
        <v>131301.0</v>
      </c>
      <c r="D431" s="28" t="s">
        <v>937</v>
      </c>
      <c r="E431" s="28" t="s">
        <v>938</v>
      </c>
      <c r="F431" s="28">
        <v>3.0</v>
      </c>
      <c r="G431" s="28" t="s">
        <v>41</v>
      </c>
      <c r="H431" s="28" t="s">
        <v>130</v>
      </c>
      <c r="I431" s="28" t="s">
        <v>53</v>
      </c>
      <c r="J431" s="28">
        <v>257862.0</v>
      </c>
      <c r="K431" s="29" t="s">
        <v>54</v>
      </c>
      <c r="L431" s="26"/>
      <c r="M431" s="25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ht="18.0" customHeight="1">
      <c r="A432" s="27">
        <v>313.0</v>
      </c>
      <c r="B432" s="28" t="s">
        <v>926</v>
      </c>
      <c r="C432" s="28">
        <v>131303.0</v>
      </c>
      <c r="D432" s="28" t="s">
        <v>939</v>
      </c>
      <c r="E432" s="28" t="s">
        <v>940</v>
      </c>
      <c r="F432" s="28">
        <v>3.0</v>
      </c>
      <c r="G432" s="28" t="s">
        <v>44</v>
      </c>
      <c r="H432" s="28" t="s">
        <v>119</v>
      </c>
      <c r="I432" s="28" t="s">
        <v>53</v>
      </c>
      <c r="J432" s="28">
        <v>257869.0</v>
      </c>
      <c r="K432" s="29" t="s">
        <v>54</v>
      </c>
      <c r="L432" s="26"/>
      <c r="M432" s="25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ht="18.0" customHeight="1">
      <c r="A433" s="27">
        <v>313.0</v>
      </c>
      <c r="B433" s="28" t="s">
        <v>926</v>
      </c>
      <c r="C433" s="28">
        <v>131305.0</v>
      </c>
      <c r="D433" s="28" t="s">
        <v>941</v>
      </c>
      <c r="E433" s="28" t="s">
        <v>942</v>
      </c>
      <c r="F433" s="28">
        <v>3.0</v>
      </c>
      <c r="G433" s="28" t="s">
        <v>41</v>
      </c>
      <c r="H433" s="28" t="s">
        <v>130</v>
      </c>
      <c r="I433" s="28" t="s">
        <v>53</v>
      </c>
      <c r="J433" s="28">
        <v>261194.0</v>
      </c>
      <c r="K433" s="29" t="s">
        <v>54</v>
      </c>
      <c r="L433" s="26"/>
      <c r="M433" s="25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ht="18.0" customHeight="1">
      <c r="A434" s="27">
        <v>315.0</v>
      </c>
      <c r="B434" s="28" t="s">
        <v>943</v>
      </c>
      <c r="C434" s="28">
        <v>331501.0</v>
      </c>
      <c r="D434" s="28" t="s">
        <v>944</v>
      </c>
      <c r="E434" s="28" t="s">
        <v>945</v>
      </c>
      <c r="F434" s="28">
        <v>1.0</v>
      </c>
      <c r="G434" s="28" t="s">
        <v>41</v>
      </c>
      <c r="H434" s="28" t="s">
        <v>57</v>
      </c>
      <c r="I434" s="28" t="s">
        <v>57</v>
      </c>
      <c r="J434" s="28"/>
      <c r="K434" s="29" t="s">
        <v>58</v>
      </c>
      <c r="L434" s="26"/>
      <c r="M434" s="25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ht="18.0" customHeight="1">
      <c r="A435" s="27">
        <v>315.0</v>
      </c>
      <c r="B435" s="28" t="s">
        <v>943</v>
      </c>
      <c r="C435" s="28">
        <v>331502.0</v>
      </c>
      <c r="D435" s="28" t="s">
        <v>946</v>
      </c>
      <c r="E435" s="28" t="s">
        <v>947</v>
      </c>
      <c r="F435" s="28">
        <v>1.0</v>
      </c>
      <c r="G435" s="28" t="s">
        <v>44</v>
      </c>
      <c r="H435" s="28" t="s">
        <v>61</v>
      </c>
      <c r="I435" s="28" t="s">
        <v>53</v>
      </c>
      <c r="J435" s="28">
        <v>524661.0</v>
      </c>
      <c r="K435" s="29" t="s">
        <v>54</v>
      </c>
      <c r="L435" s="26"/>
      <c r="M435" s="25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ht="18.0" customHeight="1">
      <c r="A436" s="27">
        <v>315.0</v>
      </c>
      <c r="B436" s="28" t="s">
        <v>943</v>
      </c>
      <c r="C436" s="28">
        <v>331503.0</v>
      </c>
      <c r="D436" s="28" t="s">
        <v>948</v>
      </c>
      <c r="E436" s="28" t="s">
        <v>949</v>
      </c>
      <c r="F436" s="28">
        <v>1.0</v>
      </c>
      <c r="G436" s="28" t="s">
        <v>41</v>
      </c>
      <c r="H436" s="28" t="s">
        <v>52</v>
      </c>
      <c r="I436" s="28" t="s">
        <v>53</v>
      </c>
      <c r="J436" s="28">
        <v>531144.0</v>
      </c>
      <c r="K436" s="29" t="s">
        <v>54</v>
      </c>
      <c r="L436" s="26"/>
      <c r="M436" s="25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ht="18.0" customHeight="1">
      <c r="A437" s="27">
        <v>315.0</v>
      </c>
      <c r="B437" s="28" t="s">
        <v>943</v>
      </c>
      <c r="C437" s="28">
        <v>331504.0</v>
      </c>
      <c r="D437" s="28" t="s">
        <v>950</v>
      </c>
      <c r="E437" s="28" t="s">
        <v>951</v>
      </c>
      <c r="F437" s="28">
        <v>1.0</v>
      </c>
      <c r="G437" s="28" t="s">
        <v>41</v>
      </c>
      <c r="H437" s="28" t="s">
        <v>52</v>
      </c>
      <c r="I437" s="28" t="s">
        <v>53</v>
      </c>
      <c r="J437" s="28">
        <v>530632.0</v>
      </c>
      <c r="K437" s="29" t="s">
        <v>54</v>
      </c>
      <c r="L437" s="26"/>
      <c r="M437" s="25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ht="18.0" customHeight="1">
      <c r="A438" s="27">
        <v>315.0</v>
      </c>
      <c r="B438" s="28" t="s">
        <v>943</v>
      </c>
      <c r="C438" s="28">
        <v>331505.0</v>
      </c>
      <c r="D438" s="28" t="s">
        <v>952</v>
      </c>
      <c r="E438" s="28" t="s">
        <v>953</v>
      </c>
      <c r="F438" s="28">
        <v>1.0</v>
      </c>
      <c r="G438" s="28" t="s">
        <v>44</v>
      </c>
      <c r="H438" s="28" t="s">
        <v>57</v>
      </c>
      <c r="I438" s="28" t="s">
        <v>57</v>
      </c>
      <c r="J438" s="28"/>
      <c r="K438" s="29" t="s">
        <v>58</v>
      </c>
      <c r="L438" s="26"/>
      <c r="M438" s="25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ht="18.0" customHeight="1">
      <c r="A439" s="27">
        <v>315.0</v>
      </c>
      <c r="B439" s="28" t="s">
        <v>943</v>
      </c>
      <c r="C439" s="28">
        <v>331506.0</v>
      </c>
      <c r="D439" s="28" t="s">
        <v>954</v>
      </c>
      <c r="E439" s="28" t="s">
        <v>955</v>
      </c>
      <c r="F439" s="28">
        <v>1.0</v>
      </c>
      <c r="G439" s="28" t="s">
        <v>44</v>
      </c>
      <c r="H439" s="28" t="s">
        <v>61</v>
      </c>
      <c r="I439" s="28" t="s">
        <v>53</v>
      </c>
      <c r="J439" s="28">
        <v>530635.0</v>
      </c>
      <c r="K439" s="29" t="s">
        <v>54</v>
      </c>
      <c r="L439" s="26"/>
      <c r="M439" s="25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ht="18.0" customHeight="1">
      <c r="A440" s="27">
        <v>315.0</v>
      </c>
      <c r="B440" s="28" t="s">
        <v>943</v>
      </c>
      <c r="C440" s="28">
        <v>331507.0</v>
      </c>
      <c r="D440" s="28" t="s">
        <v>956</v>
      </c>
      <c r="E440" s="28" t="s">
        <v>957</v>
      </c>
      <c r="F440" s="28">
        <v>1.0</v>
      </c>
      <c r="G440" s="28" t="s">
        <v>41</v>
      </c>
      <c r="H440" s="28" t="s">
        <v>57</v>
      </c>
      <c r="I440" s="28" t="s">
        <v>57</v>
      </c>
      <c r="J440" s="28"/>
      <c r="K440" s="29" t="s">
        <v>58</v>
      </c>
      <c r="L440" s="26"/>
      <c r="M440" s="25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ht="18.0" customHeight="1">
      <c r="A441" s="27">
        <v>315.0</v>
      </c>
      <c r="B441" s="28" t="s">
        <v>943</v>
      </c>
      <c r="C441" s="28">
        <v>331508.0</v>
      </c>
      <c r="D441" s="28" t="s">
        <v>958</v>
      </c>
      <c r="E441" s="28" t="s">
        <v>959</v>
      </c>
      <c r="F441" s="28">
        <v>1.0</v>
      </c>
      <c r="G441" s="28" t="s">
        <v>41</v>
      </c>
      <c r="H441" s="28" t="s">
        <v>57</v>
      </c>
      <c r="I441" s="28" t="s">
        <v>57</v>
      </c>
      <c r="J441" s="28"/>
      <c r="K441" s="29" t="s">
        <v>58</v>
      </c>
      <c r="L441" s="26"/>
      <c r="M441" s="25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ht="18.0" customHeight="1">
      <c r="A442" s="27">
        <v>315.0</v>
      </c>
      <c r="B442" s="28" t="s">
        <v>943</v>
      </c>
      <c r="C442" s="28">
        <v>331509.0</v>
      </c>
      <c r="D442" s="28" t="s">
        <v>960</v>
      </c>
      <c r="E442" s="28" t="s">
        <v>961</v>
      </c>
      <c r="F442" s="28">
        <v>1.0</v>
      </c>
      <c r="G442" s="28" t="s">
        <v>41</v>
      </c>
      <c r="H442" s="28" t="s">
        <v>57</v>
      </c>
      <c r="I442" s="28" t="s">
        <v>57</v>
      </c>
      <c r="J442" s="28"/>
      <c r="K442" s="29" t="s">
        <v>58</v>
      </c>
      <c r="L442" s="26"/>
      <c r="M442" s="25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ht="18.0" customHeight="1">
      <c r="A443" s="27">
        <v>315.0</v>
      </c>
      <c r="B443" s="28" t="s">
        <v>943</v>
      </c>
      <c r="C443" s="28">
        <v>331510.0</v>
      </c>
      <c r="D443" s="28" t="s">
        <v>962</v>
      </c>
      <c r="E443" s="28" t="s">
        <v>963</v>
      </c>
      <c r="F443" s="28">
        <v>1.0</v>
      </c>
      <c r="G443" s="28" t="s">
        <v>41</v>
      </c>
      <c r="H443" s="28" t="s">
        <v>57</v>
      </c>
      <c r="I443" s="28" t="s">
        <v>57</v>
      </c>
      <c r="J443" s="28"/>
      <c r="K443" s="29" t="s">
        <v>58</v>
      </c>
      <c r="L443" s="26"/>
      <c r="M443" s="25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ht="18.0" customHeight="1">
      <c r="A444" s="27">
        <v>315.0</v>
      </c>
      <c r="B444" s="28" t="s">
        <v>943</v>
      </c>
      <c r="C444" s="28">
        <v>331511.0</v>
      </c>
      <c r="D444" s="28" t="s">
        <v>964</v>
      </c>
      <c r="E444" s="28" t="s">
        <v>965</v>
      </c>
      <c r="F444" s="28">
        <v>1.0</v>
      </c>
      <c r="G444" s="28" t="s">
        <v>41</v>
      </c>
      <c r="H444" s="28" t="s">
        <v>57</v>
      </c>
      <c r="I444" s="28" t="s">
        <v>57</v>
      </c>
      <c r="J444" s="28"/>
      <c r="K444" s="29" t="s">
        <v>58</v>
      </c>
      <c r="L444" s="26"/>
      <c r="M444" s="25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ht="18.0" customHeight="1">
      <c r="A445" s="27">
        <v>315.0</v>
      </c>
      <c r="B445" s="28" t="s">
        <v>943</v>
      </c>
      <c r="C445" s="28">
        <v>331512.0</v>
      </c>
      <c r="D445" s="28" t="s">
        <v>966</v>
      </c>
      <c r="E445" s="28" t="s">
        <v>967</v>
      </c>
      <c r="F445" s="28">
        <v>1.0</v>
      </c>
      <c r="G445" s="28" t="s">
        <v>41</v>
      </c>
      <c r="H445" s="28" t="s">
        <v>52</v>
      </c>
      <c r="I445" s="28" t="s">
        <v>53</v>
      </c>
      <c r="J445" s="28">
        <v>530649.0</v>
      </c>
      <c r="K445" s="29" t="s">
        <v>54</v>
      </c>
      <c r="L445" s="26"/>
      <c r="M445" s="25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ht="18.0" customHeight="1">
      <c r="A446" s="27">
        <v>315.0</v>
      </c>
      <c r="B446" s="28" t="s">
        <v>943</v>
      </c>
      <c r="C446" s="28">
        <v>331513.0</v>
      </c>
      <c r="D446" s="28" t="s">
        <v>968</v>
      </c>
      <c r="E446" s="28" t="s">
        <v>969</v>
      </c>
      <c r="F446" s="28">
        <v>1.0</v>
      </c>
      <c r="G446" s="28" t="s">
        <v>41</v>
      </c>
      <c r="H446" s="28" t="s">
        <v>52</v>
      </c>
      <c r="I446" s="28" t="s">
        <v>53</v>
      </c>
      <c r="J446" s="28">
        <v>531137.0</v>
      </c>
      <c r="K446" s="29" t="s">
        <v>54</v>
      </c>
      <c r="L446" s="26"/>
      <c r="M446" s="25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ht="18.0" customHeight="1">
      <c r="A447" s="27">
        <v>315.0</v>
      </c>
      <c r="B447" s="28" t="s">
        <v>943</v>
      </c>
      <c r="C447" s="28">
        <v>331514.0</v>
      </c>
      <c r="D447" s="28" t="s">
        <v>970</v>
      </c>
      <c r="E447" s="28" t="s">
        <v>971</v>
      </c>
      <c r="F447" s="28">
        <v>1.0</v>
      </c>
      <c r="G447" s="28" t="s">
        <v>41</v>
      </c>
      <c r="H447" s="28" t="s">
        <v>57</v>
      </c>
      <c r="I447" s="28" t="s">
        <v>57</v>
      </c>
      <c r="J447" s="28"/>
      <c r="K447" s="29" t="s">
        <v>58</v>
      </c>
      <c r="L447" s="26"/>
      <c r="M447" s="25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ht="18.0" customHeight="1">
      <c r="A448" s="27">
        <v>315.0</v>
      </c>
      <c r="B448" s="28" t="s">
        <v>943</v>
      </c>
      <c r="C448" s="28">
        <v>331515.0</v>
      </c>
      <c r="D448" s="28" t="s">
        <v>972</v>
      </c>
      <c r="E448" s="28" t="s">
        <v>973</v>
      </c>
      <c r="F448" s="28">
        <v>1.0</v>
      </c>
      <c r="G448" s="28" t="s">
        <v>41</v>
      </c>
      <c r="H448" s="28" t="s">
        <v>57</v>
      </c>
      <c r="I448" s="28" t="s">
        <v>57</v>
      </c>
      <c r="J448" s="28"/>
      <c r="K448" s="29" t="s">
        <v>58</v>
      </c>
      <c r="L448" s="26"/>
      <c r="M448" s="25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ht="18.0" customHeight="1">
      <c r="A449" s="27">
        <v>315.0</v>
      </c>
      <c r="B449" s="28" t="s">
        <v>943</v>
      </c>
      <c r="C449" s="28">
        <v>331516.0</v>
      </c>
      <c r="D449" s="28" t="s">
        <v>974</v>
      </c>
      <c r="E449" s="28" t="s">
        <v>975</v>
      </c>
      <c r="F449" s="28">
        <v>1.0</v>
      </c>
      <c r="G449" s="28" t="s">
        <v>41</v>
      </c>
      <c r="H449" s="28" t="s">
        <v>57</v>
      </c>
      <c r="I449" s="28" t="s">
        <v>57</v>
      </c>
      <c r="J449" s="28"/>
      <c r="K449" s="29" t="s">
        <v>58</v>
      </c>
      <c r="L449" s="26"/>
      <c r="M449" s="25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ht="18.0" customHeight="1">
      <c r="A450" s="27">
        <v>315.0</v>
      </c>
      <c r="B450" s="28" t="s">
        <v>943</v>
      </c>
      <c r="C450" s="28">
        <v>331517.0</v>
      </c>
      <c r="D450" s="28" t="s">
        <v>976</v>
      </c>
      <c r="E450" s="28" t="s">
        <v>977</v>
      </c>
      <c r="F450" s="28">
        <v>1.0</v>
      </c>
      <c r="G450" s="28" t="s">
        <v>41</v>
      </c>
      <c r="H450" s="28" t="s">
        <v>52</v>
      </c>
      <c r="I450" s="28" t="s">
        <v>53</v>
      </c>
      <c r="J450" s="28">
        <v>524662.0</v>
      </c>
      <c r="K450" s="29" t="s">
        <v>54</v>
      </c>
      <c r="L450" s="26"/>
      <c r="M450" s="25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ht="18.0" customHeight="1">
      <c r="A451" s="27">
        <v>315.0</v>
      </c>
      <c r="B451" s="28" t="s">
        <v>943</v>
      </c>
      <c r="C451" s="28">
        <v>331518.0</v>
      </c>
      <c r="D451" s="28" t="s">
        <v>978</v>
      </c>
      <c r="E451" s="28" t="s">
        <v>979</v>
      </c>
      <c r="F451" s="28">
        <v>1.0</v>
      </c>
      <c r="G451" s="28" t="s">
        <v>41</v>
      </c>
      <c r="H451" s="28" t="s">
        <v>52</v>
      </c>
      <c r="I451" s="28" t="s">
        <v>53</v>
      </c>
      <c r="J451" s="28">
        <v>530648.0</v>
      </c>
      <c r="K451" s="29" t="s">
        <v>54</v>
      </c>
      <c r="L451" s="26"/>
      <c r="M451" s="25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ht="18.0" customHeight="1">
      <c r="A452" s="27">
        <v>315.0</v>
      </c>
      <c r="B452" s="28" t="s">
        <v>943</v>
      </c>
      <c r="C452" s="28">
        <v>331519.0</v>
      </c>
      <c r="D452" s="28" t="s">
        <v>980</v>
      </c>
      <c r="E452" s="28" t="s">
        <v>981</v>
      </c>
      <c r="F452" s="28">
        <v>1.0</v>
      </c>
      <c r="G452" s="28" t="s">
        <v>41</v>
      </c>
      <c r="H452" s="28" t="s">
        <v>57</v>
      </c>
      <c r="I452" s="28" t="s">
        <v>57</v>
      </c>
      <c r="J452" s="28"/>
      <c r="K452" s="29" t="s">
        <v>58</v>
      </c>
      <c r="L452" s="26"/>
      <c r="M452" s="25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ht="18.0" customHeight="1">
      <c r="A453" s="27">
        <v>315.0</v>
      </c>
      <c r="B453" s="28" t="s">
        <v>943</v>
      </c>
      <c r="C453" s="28">
        <v>331520.0</v>
      </c>
      <c r="D453" s="28" t="s">
        <v>982</v>
      </c>
      <c r="E453" s="28" t="s">
        <v>983</v>
      </c>
      <c r="F453" s="28">
        <v>1.0</v>
      </c>
      <c r="G453" s="28" t="s">
        <v>41</v>
      </c>
      <c r="H453" s="28" t="s">
        <v>57</v>
      </c>
      <c r="I453" s="28" t="s">
        <v>57</v>
      </c>
      <c r="J453" s="28"/>
      <c r="K453" s="29" t="s">
        <v>58</v>
      </c>
      <c r="L453" s="26"/>
      <c r="M453" s="25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ht="18.0" customHeight="1">
      <c r="A454" s="27">
        <v>315.0</v>
      </c>
      <c r="B454" s="28" t="s">
        <v>943</v>
      </c>
      <c r="C454" s="28">
        <v>331521.0</v>
      </c>
      <c r="D454" s="28" t="s">
        <v>984</v>
      </c>
      <c r="E454" s="28" t="s">
        <v>985</v>
      </c>
      <c r="F454" s="28">
        <v>1.0</v>
      </c>
      <c r="G454" s="28" t="s">
        <v>41</v>
      </c>
      <c r="H454" s="28" t="s">
        <v>57</v>
      </c>
      <c r="I454" s="28" t="s">
        <v>57</v>
      </c>
      <c r="J454" s="28"/>
      <c r="K454" s="29" t="s">
        <v>58</v>
      </c>
      <c r="L454" s="26"/>
      <c r="M454" s="25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ht="18.0" customHeight="1">
      <c r="A455" s="27">
        <v>315.0</v>
      </c>
      <c r="B455" s="28" t="s">
        <v>943</v>
      </c>
      <c r="C455" s="28">
        <v>231501.0</v>
      </c>
      <c r="D455" s="28" t="s">
        <v>986</v>
      </c>
      <c r="E455" s="28" t="s">
        <v>987</v>
      </c>
      <c r="F455" s="28">
        <v>2.0</v>
      </c>
      <c r="G455" s="28" t="s">
        <v>41</v>
      </c>
      <c r="H455" s="28" t="s">
        <v>130</v>
      </c>
      <c r="I455" s="28" t="s">
        <v>53</v>
      </c>
      <c r="J455" s="28">
        <v>524943.0</v>
      </c>
      <c r="K455" s="29" t="s">
        <v>54</v>
      </c>
      <c r="L455" s="26"/>
      <c r="M455" s="25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ht="18.0" customHeight="1">
      <c r="A456" s="27">
        <v>315.0</v>
      </c>
      <c r="B456" s="28" t="s">
        <v>943</v>
      </c>
      <c r="C456" s="28">
        <v>231502.0</v>
      </c>
      <c r="D456" s="28" t="s">
        <v>988</v>
      </c>
      <c r="E456" s="28" t="s">
        <v>989</v>
      </c>
      <c r="F456" s="28">
        <v>2.0</v>
      </c>
      <c r="G456" s="28" t="s">
        <v>41</v>
      </c>
      <c r="H456" s="28" t="s">
        <v>130</v>
      </c>
      <c r="I456" s="28" t="s">
        <v>53</v>
      </c>
      <c r="J456" s="28">
        <v>524950.0</v>
      </c>
      <c r="K456" s="29" t="s">
        <v>54</v>
      </c>
      <c r="L456" s="26"/>
      <c r="M456" s="25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ht="18.0" customHeight="1">
      <c r="A457" s="27">
        <v>315.0</v>
      </c>
      <c r="B457" s="28" t="s">
        <v>943</v>
      </c>
      <c r="C457" s="28">
        <v>231503.0</v>
      </c>
      <c r="D457" s="28" t="s">
        <v>990</v>
      </c>
      <c r="E457" s="28" t="s">
        <v>991</v>
      </c>
      <c r="F457" s="28">
        <v>2.0</v>
      </c>
      <c r="G457" s="28" t="s">
        <v>41</v>
      </c>
      <c r="H457" s="28" t="s">
        <v>57</v>
      </c>
      <c r="I457" s="28" t="s">
        <v>57</v>
      </c>
      <c r="J457" s="28"/>
      <c r="K457" s="29" t="s">
        <v>58</v>
      </c>
      <c r="L457" s="26"/>
      <c r="M457" s="25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ht="18.0" customHeight="1">
      <c r="A458" s="27">
        <v>315.0</v>
      </c>
      <c r="B458" s="28" t="s">
        <v>943</v>
      </c>
      <c r="C458" s="28">
        <v>231504.0</v>
      </c>
      <c r="D458" s="28" t="s">
        <v>992</v>
      </c>
      <c r="E458" s="28" t="s">
        <v>993</v>
      </c>
      <c r="F458" s="28">
        <v>2.0</v>
      </c>
      <c r="G458" s="28" t="s">
        <v>44</v>
      </c>
      <c r="H458" s="28" t="s">
        <v>119</v>
      </c>
      <c r="I458" s="28" t="s">
        <v>53</v>
      </c>
      <c r="J458" s="28">
        <v>524948.0</v>
      </c>
      <c r="K458" s="29" t="s">
        <v>54</v>
      </c>
      <c r="L458" s="26"/>
      <c r="M458" s="25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ht="18.0" customHeight="1">
      <c r="A459" s="27">
        <v>315.0</v>
      </c>
      <c r="B459" s="28" t="s">
        <v>943</v>
      </c>
      <c r="C459" s="28">
        <v>231505.0</v>
      </c>
      <c r="D459" s="28" t="s">
        <v>994</v>
      </c>
      <c r="E459" s="28" t="s">
        <v>995</v>
      </c>
      <c r="F459" s="28">
        <v>2.0</v>
      </c>
      <c r="G459" s="28" t="s">
        <v>41</v>
      </c>
      <c r="H459" s="28" t="s">
        <v>130</v>
      </c>
      <c r="I459" s="28" t="s">
        <v>53</v>
      </c>
      <c r="J459" s="28">
        <v>524942.0</v>
      </c>
      <c r="K459" s="29" t="s">
        <v>54</v>
      </c>
      <c r="L459" s="26"/>
      <c r="M459" s="25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ht="18.0" customHeight="1">
      <c r="A460" s="27">
        <v>315.0</v>
      </c>
      <c r="B460" s="28" t="s">
        <v>943</v>
      </c>
      <c r="C460" s="28">
        <v>231506.0</v>
      </c>
      <c r="D460" s="28" t="s">
        <v>996</v>
      </c>
      <c r="E460" s="28" t="s">
        <v>997</v>
      </c>
      <c r="F460" s="28">
        <v>2.0</v>
      </c>
      <c r="G460" s="28" t="s">
        <v>44</v>
      </c>
      <c r="H460" s="28" t="s">
        <v>119</v>
      </c>
      <c r="I460" s="28" t="s">
        <v>53</v>
      </c>
      <c r="J460" s="28">
        <v>524944.0</v>
      </c>
      <c r="K460" s="29" t="s">
        <v>54</v>
      </c>
      <c r="L460" s="26"/>
      <c r="M460" s="25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ht="18.0" customHeight="1">
      <c r="A461" s="27">
        <v>315.0</v>
      </c>
      <c r="B461" s="28" t="s">
        <v>943</v>
      </c>
      <c r="C461" s="28">
        <v>231507.0</v>
      </c>
      <c r="D461" s="28" t="s">
        <v>998</v>
      </c>
      <c r="E461" s="28" t="s">
        <v>999</v>
      </c>
      <c r="F461" s="28">
        <v>2.0</v>
      </c>
      <c r="G461" s="28" t="s">
        <v>41</v>
      </c>
      <c r="H461" s="28" t="s">
        <v>130</v>
      </c>
      <c r="I461" s="28" t="s">
        <v>53</v>
      </c>
      <c r="J461" s="28">
        <v>524941.0</v>
      </c>
      <c r="K461" s="29" t="s">
        <v>54</v>
      </c>
      <c r="L461" s="26"/>
      <c r="M461" s="25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ht="18.0" customHeight="1">
      <c r="A462" s="27">
        <v>315.0</v>
      </c>
      <c r="B462" s="28" t="s">
        <v>943</v>
      </c>
      <c r="C462" s="28">
        <v>231508.0</v>
      </c>
      <c r="D462" s="28" t="s">
        <v>1000</v>
      </c>
      <c r="E462" s="28" t="s">
        <v>1001</v>
      </c>
      <c r="F462" s="28">
        <v>2.0</v>
      </c>
      <c r="G462" s="28" t="s">
        <v>41</v>
      </c>
      <c r="H462" s="28" t="s">
        <v>130</v>
      </c>
      <c r="I462" s="28" t="s">
        <v>53</v>
      </c>
      <c r="J462" s="28">
        <v>524952.0</v>
      </c>
      <c r="K462" s="29" t="s">
        <v>54</v>
      </c>
      <c r="L462" s="26"/>
      <c r="M462" s="25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ht="18.0" customHeight="1">
      <c r="A463" s="27">
        <v>315.0</v>
      </c>
      <c r="B463" s="28" t="s">
        <v>943</v>
      </c>
      <c r="C463" s="28">
        <v>231509.0</v>
      </c>
      <c r="D463" s="28" t="s">
        <v>1002</v>
      </c>
      <c r="E463" s="28" t="s">
        <v>1003</v>
      </c>
      <c r="F463" s="28">
        <v>2.0</v>
      </c>
      <c r="G463" s="28" t="s">
        <v>41</v>
      </c>
      <c r="H463" s="28" t="s">
        <v>57</v>
      </c>
      <c r="I463" s="28" t="s">
        <v>57</v>
      </c>
      <c r="J463" s="28"/>
      <c r="K463" s="29" t="s">
        <v>58</v>
      </c>
      <c r="L463" s="26"/>
      <c r="M463" s="25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ht="18.0" customHeight="1">
      <c r="A464" s="27">
        <v>315.0</v>
      </c>
      <c r="B464" s="28" t="s">
        <v>943</v>
      </c>
      <c r="C464" s="28">
        <v>231511.0</v>
      </c>
      <c r="D464" s="28" t="s">
        <v>1004</v>
      </c>
      <c r="E464" s="28" t="s">
        <v>1005</v>
      </c>
      <c r="F464" s="28">
        <v>2.0</v>
      </c>
      <c r="G464" s="28" t="s">
        <v>41</v>
      </c>
      <c r="H464" s="28" t="s">
        <v>130</v>
      </c>
      <c r="I464" s="28" t="s">
        <v>53</v>
      </c>
      <c r="J464" s="28">
        <v>524956.0</v>
      </c>
      <c r="K464" s="29" t="s">
        <v>54</v>
      </c>
      <c r="L464" s="26"/>
      <c r="M464" s="25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ht="18.0" customHeight="1">
      <c r="A465" s="27">
        <v>315.0</v>
      </c>
      <c r="B465" s="28" t="s">
        <v>943</v>
      </c>
      <c r="C465" s="28">
        <v>231512.0</v>
      </c>
      <c r="D465" s="28" t="s">
        <v>1006</v>
      </c>
      <c r="E465" s="28" t="s">
        <v>1007</v>
      </c>
      <c r="F465" s="28">
        <v>2.0</v>
      </c>
      <c r="G465" s="28" t="s">
        <v>41</v>
      </c>
      <c r="H465" s="28" t="s">
        <v>57</v>
      </c>
      <c r="I465" s="28" t="s">
        <v>57</v>
      </c>
      <c r="J465" s="28"/>
      <c r="K465" s="29" t="s">
        <v>58</v>
      </c>
      <c r="L465" s="26"/>
      <c r="M465" s="25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ht="18.0" customHeight="1">
      <c r="A466" s="27">
        <v>315.0</v>
      </c>
      <c r="B466" s="28" t="s">
        <v>943</v>
      </c>
      <c r="C466" s="28">
        <v>231515.0</v>
      </c>
      <c r="D466" s="28" t="s">
        <v>1008</v>
      </c>
      <c r="E466" s="28" t="s">
        <v>1009</v>
      </c>
      <c r="F466" s="28">
        <v>2.0</v>
      </c>
      <c r="G466" s="28" t="s">
        <v>41</v>
      </c>
      <c r="H466" s="28" t="s">
        <v>130</v>
      </c>
      <c r="I466" s="28" t="s">
        <v>53</v>
      </c>
      <c r="J466" s="28">
        <v>528630.0</v>
      </c>
      <c r="K466" s="29" t="s">
        <v>54</v>
      </c>
      <c r="L466" s="26"/>
      <c r="M466" s="25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ht="18.0" customHeight="1">
      <c r="A467" s="27">
        <v>315.0</v>
      </c>
      <c r="B467" s="28" t="s">
        <v>943</v>
      </c>
      <c r="C467" s="28">
        <v>131501.0</v>
      </c>
      <c r="D467" s="28" t="s">
        <v>1010</v>
      </c>
      <c r="E467" s="28" t="s">
        <v>1011</v>
      </c>
      <c r="F467" s="28">
        <v>3.0</v>
      </c>
      <c r="G467" s="28" t="s">
        <v>41</v>
      </c>
      <c r="H467" s="28" t="s">
        <v>130</v>
      </c>
      <c r="I467" s="28" t="s">
        <v>53</v>
      </c>
      <c r="J467" s="28">
        <v>519384.0</v>
      </c>
      <c r="K467" s="29" t="s">
        <v>54</v>
      </c>
      <c r="L467" s="26"/>
      <c r="M467" s="25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ht="18.0" customHeight="1">
      <c r="A468" s="27">
        <v>315.0</v>
      </c>
      <c r="B468" s="28" t="s">
        <v>943</v>
      </c>
      <c r="C468" s="28">
        <v>131502.0</v>
      </c>
      <c r="D468" s="28" t="s">
        <v>1012</v>
      </c>
      <c r="E468" s="28" t="s">
        <v>1013</v>
      </c>
      <c r="F468" s="28">
        <v>3.0</v>
      </c>
      <c r="G468" s="28" t="s">
        <v>41</v>
      </c>
      <c r="H468" s="28" t="s">
        <v>130</v>
      </c>
      <c r="I468" s="28" t="s">
        <v>53</v>
      </c>
      <c r="J468" s="28">
        <v>519390.0</v>
      </c>
      <c r="K468" s="29" t="s">
        <v>54</v>
      </c>
      <c r="L468" s="26"/>
      <c r="M468" s="25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ht="18.0" customHeight="1">
      <c r="A469" s="27">
        <v>315.0</v>
      </c>
      <c r="B469" s="28" t="s">
        <v>943</v>
      </c>
      <c r="C469" s="28">
        <v>131503.0</v>
      </c>
      <c r="D469" s="28" t="s">
        <v>1014</v>
      </c>
      <c r="E469" s="28" t="s">
        <v>1015</v>
      </c>
      <c r="F469" s="28">
        <v>3.0</v>
      </c>
      <c r="G469" s="28" t="s">
        <v>44</v>
      </c>
      <c r="H469" s="28" t="s">
        <v>119</v>
      </c>
      <c r="I469" s="28" t="s">
        <v>53</v>
      </c>
      <c r="J469" s="28">
        <v>519387.0</v>
      </c>
      <c r="K469" s="29" t="s">
        <v>54</v>
      </c>
      <c r="L469" s="26"/>
      <c r="M469" s="25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ht="18.0" customHeight="1">
      <c r="A470" s="27">
        <v>315.0</v>
      </c>
      <c r="B470" s="28" t="s">
        <v>943</v>
      </c>
      <c r="C470" s="28">
        <v>131505.0</v>
      </c>
      <c r="D470" s="28" t="s">
        <v>1016</v>
      </c>
      <c r="E470" s="28" t="s">
        <v>1017</v>
      </c>
      <c r="F470" s="28">
        <v>3.0</v>
      </c>
      <c r="G470" s="28" t="s">
        <v>44</v>
      </c>
      <c r="H470" s="28" t="s">
        <v>119</v>
      </c>
      <c r="I470" s="28" t="s">
        <v>53</v>
      </c>
      <c r="J470" s="28">
        <v>524939.0</v>
      </c>
      <c r="K470" s="29" t="s">
        <v>54</v>
      </c>
      <c r="L470" s="26"/>
      <c r="M470" s="25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ht="18.0" customHeight="1">
      <c r="A471" s="27">
        <v>315.0</v>
      </c>
      <c r="B471" s="28" t="s">
        <v>943</v>
      </c>
      <c r="C471" s="28">
        <v>131509.0</v>
      </c>
      <c r="D471" s="28" t="s">
        <v>1018</v>
      </c>
      <c r="E471" s="28" t="s">
        <v>1019</v>
      </c>
      <c r="F471" s="28">
        <v>3.0</v>
      </c>
      <c r="G471" s="28" t="s">
        <v>44</v>
      </c>
      <c r="H471" s="28" t="s">
        <v>119</v>
      </c>
      <c r="I471" s="28" t="s">
        <v>53</v>
      </c>
      <c r="J471" s="28">
        <v>519391.0</v>
      </c>
      <c r="K471" s="29" t="s">
        <v>54</v>
      </c>
      <c r="L471" s="26"/>
      <c r="M471" s="25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ht="18.0" customHeight="1">
      <c r="A472" s="27">
        <v>315.0</v>
      </c>
      <c r="B472" s="28" t="s">
        <v>943</v>
      </c>
      <c r="C472" s="28">
        <v>131511.0</v>
      </c>
      <c r="D472" s="28" t="s">
        <v>1020</v>
      </c>
      <c r="E472" s="28" t="s">
        <v>1021</v>
      </c>
      <c r="F472" s="28">
        <v>3.0</v>
      </c>
      <c r="G472" s="28" t="s">
        <v>41</v>
      </c>
      <c r="H472" s="28" t="s">
        <v>57</v>
      </c>
      <c r="I472" s="28" t="s">
        <v>57</v>
      </c>
      <c r="J472" s="28"/>
      <c r="K472" s="29" t="s">
        <v>58</v>
      </c>
      <c r="L472" s="26"/>
      <c r="M472" s="25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ht="18.0" customHeight="1">
      <c r="A473" s="27">
        <v>315.0</v>
      </c>
      <c r="B473" s="28" t="s">
        <v>943</v>
      </c>
      <c r="C473" s="28">
        <v>131515.0</v>
      </c>
      <c r="D473" s="28" t="s">
        <v>1022</v>
      </c>
      <c r="E473" s="28" t="s">
        <v>1023</v>
      </c>
      <c r="F473" s="28">
        <v>3.0</v>
      </c>
      <c r="G473" s="28" t="s">
        <v>41</v>
      </c>
      <c r="H473" s="28" t="s">
        <v>130</v>
      </c>
      <c r="I473" s="28" t="s">
        <v>53</v>
      </c>
      <c r="J473" s="28">
        <v>519385.0</v>
      </c>
      <c r="K473" s="29" t="s">
        <v>54</v>
      </c>
      <c r="L473" s="26"/>
      <c r="M473" s="25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ht="18.0" customHeight="1">
      <c r="A474" s="27">
        <v>315.0</v>
      </c>
      <c r="B474" s="28" t="s">
        <v>943</v>
      </c>
      <c r="C474" s="28">
        <v>131517.0</v>
      </c>
      <c r="D474" s="28" t="s">
        <v>1024</v>
      </c>
      <c r="E474" s="28" t="s">
        <v>1025</v>
      </c>
      <c r="F474" s="28">
        <v>3.0</v>
      </c>
      <c r="G474" s="28" t="s">
        <v>41</v>
      </c>
      <c r="H474" s="28" t="s">
        <v>130</v>
      </c>
      <c r="I474" s="28" t="s">
        <v>53</v>
      </c>
      <c r="J474" s="28">
        <v>519392.0</v>
      </c>
      <c r="K474" s="29" t="s">
        <v>58</v>
      </c>
      <c r="L474" s="26"/>
      <c r="M474" s="25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ht="18.0" customHeight="1">
      <c r="A475" s="27">
        <v>315.0</v>
      </c>
      <c r="B475" s="28" t="s">
        <v>943</v>
      </c>
      <c r="C475" s="28">
        <v>131519.0</v>
      </c>
      <c r="D475" s="28" t="s">
        <v>1026</v>
      </c>
      <c r="E475" s="28" t="s">
        <v>1027</v>
      </c>
      <c r="F475" s="28">
        <v>3.0</v>
      </c>
      <c r="G475" s="28" t="s">
        <v>44</v>
      </c>
      <c r="H475" s="28" t="s">
        <v>57</v>
      </c>
      <c r="I475" s="28" t="s">
        <v>57</v>
      </c>
      <c r="J475" s="28"/>
      <c r="K475" s="29" t="s">
        <v>58</v>
      </c>
      <c r="L475" s="26"/>
      <c r="M475" s="25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ht="18.0" customHeight="1">
      <c r="A476" s="27">
        <v>315.0</v>
      </c>
      <c r="B476" s="28" t="s">
        <v>943</v>
      </c>
      <c r="C476" s="28">
        <v>131523.0</v>
      </c>
      <c r="D476" s="28" t="s">
        <v>1028</v>
      </c>
      <c r="E476" s="28" t="s">
        <v>1029</v>
      </c>
      <c r="F476" s="28">
        <v>3.0</v>
      </c>
      <c r="G476" s="28" t="s">
        <v>41</v>
      </c>
      <c r="H476" s="28" t="s">
        <v>130</v>
      </c>
      <c r="I476" s="28" t="s">
        <v>53</v>
      </c>
      <c r="J476" s="28">
        <v>519400.0</v>
      </c>
      <c r="K476" s="29" t="s">
        <v>54</v>
      </c>
      <c r="L476" s="26"/>
      <c r="M476" s="25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ht="18.0" customHeight="1">
      <c r="A477" s="27">
        <v>315.0</v>
      </c>
      <c r="B477" s="28" t="s">
        <v>943</v>
      </c>
      <c r="C477" s="28">
        <v>131525.0</v>
      </c>
      <c r="D477" s="28" t="s">
        <v>1030</v>
      </c>
      <c r="E477" s="28" t="s">
        <v>1031</v>
      </c>
      <c r="F477" s="28">
        <v>3.0</v>
      </c>
      <c r="G477" s="28" t="s">
        <v>41</v>
      </c>
      <c r="H477" s="28" t="s">
        <v>57</v>
      </c>
      <c r="I477" s="28" t="s">
        <v>57</v>
      </c>
      <c r="J477" s="28"/>
      <c r="K477" s="29" t="s">
        <v>58</v>
      </c>
      <c r="L477" s="26"/>
      <c r="M477" s="25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ht="18.0" customHeight="1">
      <c r="A478" s="27">
        <v>315.0</v>
      </c>
      <c r="B478" s="28" t="s">
        <v>943</v>
      </c>
      <c r="C478" s="28">
        <v>31501.0</v>
      </c>
      <c r="D478" s="28" t="s">
        <v>1032</v>
      </c>
      <c r="E478" s="28" t="s">
        <v>1033</v>
      </c>
      <c r="F478" s="28">
        <v>4.0</v>
      </c>
      <c r="G478" s="28" t="s">
        <v>41</v>
      </c>
      <c r="H478" s="28" t="s">
        <v>130</v>
      </c>
      <c r="I478" s="28" t="s">
        <v>53</v>
      </c>
      <c r="J478" s="28">
        <v>524938.0</v>
      </c>
      <c r="K478" s="29" t="s">
        <v>54</v>
      </c>
      <c r="L478" s="26"/>
      <c r="M478" s="25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ht="18.0" customHeight="1">
      <c r="A479" s="27">
        <v>316.0</v>
      </c>
      <c r="B479" s="28" t="s">
        <v>1034</v>
      </c>
      <c r="C479" s="28">
        <v>331602.0</v>
      </c>
      <c r="D479" s="28" t="s">
        <v>1035</v>
      </c>
      <c r="E479" s="28" t="s">
        <v>1036</v>
      </c>
      <c r="F479" s="28">
        <v>1.0</v>
      </c>
      <c r="G479" s="28" t="s">
        <v>41</v>
      </c>
      <c r="H479" s="28" t="s">
        <v>52</v>
      </c>
      <c r="I479" s="28" t="s">
        <v>53</v>
      </c>
      <c r="J479" s="28"/>
      <c r="K479" s="29" t="s">
        <v>54</v>
      </c>
      <c r="L479" s="26"/>
      <c r="M479" s="25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ht="18.0" customHeight="1">
      <c r="A480" s="27">
        <v>316.0</v>
      </c>
      <c r="B480" s="28" t="s">
        <v>1034</v>
      </c>
      <c r="C480" s="28">
        <v>231601.0</v>
      </c>
      <c r="D480" s="28" t="s">
        <v>1037</v>
      </c>
      <c r="E480" s="28" t="s">
        <v>1038</v>
      </c>
      <c r="F480" s="28">
        <v>2.0</v>
      </c>
      <c r="G480" s="28" t="s">
        <v>41</v>
      </c>
      <c r="H480" s="28" t="s">
        <v>130</v>
      </c>
      <c r="I480" s="28" t="s">
        <v>53</v>
      </c>
      <c r="J480" s="28">
        <v>265846.0</v>
      </c>
      <c r="K480" s="29" t="s">
        <v>54</v>
      </c>
      <c r="L480" s="26"/>
      <c r="M480" s="25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ht="18.0" customHeight="1">
      <c r="A481" s="27">
        <v>317.0</v>
      </c>
      <c r="B481" s="28" t="s">
        <v>1039</v>
      </c>
      <c r="C481" s="28">
        <v>331701.0</v>
      </c>
      <c r="D481" s="28" t="s">
        <v>1040</v>
      </c>
      <c r="E481" s="28" t="s">
        <v>1041</v>
      </c>
      <c r="F481" s="28">
        <v>1.0</v>
      </c>
      <c r="G481" s="28" t="s">
        <v>41</v>
      </c>
      <c r="H481" s="28" t="s">
        <v>52</v>
      </c>
      <c r="I481" s="28" t="s">
        <v>53</v>
      </c>
      <c r="J481" s="28">
        <v>524976.0</v>
      </c>
      <c r="K481" s="29" t="s">
        <v>54</v>
      </c>
      <c r="L481" s="26"/>
      <c r="M481" s="25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ht="18.0" customHeight="1">
      <c r="A482" s="27">
        <v>317.0</v>
      </c>
      <c r="B482" s="28" t="s">
        <v>1039</v>
      </c>
      <c r="C482" s="28">
        <v>331702.0</v>
      </c>
      <c r="D482" s="28" t="s">
        <v>1042</v>
      </c>
      <c r="E482" s="28" t="s">
        <v>1043</v>
      </c>
      <c r="F482" s="28">
        <v>1.0</v>
      </c>
      <c r="G482" s="28" t="s">
        <v>41</v>
      </c>
      <c r="H482" s="28" t="s">
        <v>52</v>
      </c>
      <c r="I482" s="28" t="s">
        <v>53</v>
      </c>
      <c r="J482" s="28">
        <v>507585.0</v>
      </c>
      <c r="K482" s="29" t="s">
        <v>54</v>
      </c>
      <c r="L482" s="26"/>
      <c r="M482" s="25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ht="18.0" customHeight="1">
      <c r="A483" s="27">
        <v>317.0</v>
      </c>
      <c r="B483" s="28" t="s">
        <v>1039</v>
      </c>
      <c r="C483" s="28">
        <v>331703.0</v>
      </c>
      <c r="D483" s="28" t="s">
        <v>1044</v>
      </c>
      <c r="E483" s="28" t="s">
        <v>1045</v>
      </c>
      <c r="F483" s="28">
        <v>1.0</v>
      </c>
      <c r="G483" s="28" t="s">
        <v>41</v>
      </c>
      <c r="H483" s="28" t="s">
        <v>52</v>
      </c>
      <c r="I483" s="28" t="s">
        <v>53</v>
      </c>
      <c r="J483" s="28">
        <v>518925.0</v>
      </c>
      <c r="K483" s="29" t="s">
        <v>54</v>
      </c>
      <c r="L483" s="26"/>
      <c r="M483" s="25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ht="18.0" customHeight="1">
      <c r="A484" s="27">
        <v>317.0</v>
      </c>
      <c r="B484" s="28" t="s">
        <v>1039</v>
      </c>
      <c r="C484" s="28">
        <v>331704.0</v>
      </c>
      <c r="D484" s="28" t="s">
        <v>1046</v>
      </c>
      <c r="E484" s="28" t="s">
        <v>1047</v>
      </c>
      <c r="F484" s="28">
        <v>1.0</v>
      </c>
      <c r="G484" s="28" t="s">
        <v>41</v>
      </c>
      <c r="H484" s="28" t="s">
        <v>52</v>
      </c>
      <c r="I484" s="28" t="s">
        <v>53</v>
      </c>
      <c r="J484" s="28">
        <v>518921.0</v>
      </c>
      <c r="K484" s="29" t="s">
        <v>54</v>
      </c>
      <c r="L484" s="26"/>
      <c r="M484" s="25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ht="18.0" customHeight="1">
      <c r="A485" s="27">
        <v>317.0</v>
      </c>
      <c r="B485" s="28" t="s">
        <v>1039</v>
      </c>
      <c r="C485" s="28">
        <v>331705.0</v>
      </c>
      <c r="D485" s="28" t="s">
        <v>1048</v>
      </c>
      <c r="E485" s="28" t="s">
        <v>1049</v>
      </c>
      <c r="F485" s="28">
        <v>1.0</v>
      </c>
      <c r="G485" s="28" t="s">
        <v>41</v>
      </c>
      <c r="H485" s="28" t="s">
        <v>52</v>
      </c>
      <c r="I485" s="28" t="s">
        <v>53</v>
      </c>
      <c r="J485" s="28">
        <v>518922.0</v>
      </c>
      <c r="K485" s="29" t="s">
        <v>54</v>
      </c>
      <c r="L485" s="26"/>
      <c r="M485" s="25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ht="18.0" customHeight="1">
      <c r="A486" s="27">
        <v>317.0</v>
      </c>
      <c r="B486" s="28" t="s">
        <v>1039</v>
      </c>
      <c r="C486" s="28">
        <v>331706.0</v>
      </c>
      <c r="D486" s="28" t="s">
        <v>1050</v>
      </c>
      <c r="E486" s="28" t="s">
        <v>1051</v>
      </c>
      <c r="F486" s="28">
        <v>1.0</v>
      </c>
      <c r="G486" s="28" t="s">
        <v>41</v>
      </c>
      <c r="H486" s="28" t="s">
        <v>57</v>
      </c>
      <c r="I486" s="28" t="s">
        <v>57</v>
      </c>
      <c r="J486" s="28"/>
      <c r="K486" s="29" t="s">
        <v>58</v>
      </c>
      <c r="L486" s="26"/>
      <c r="M486" s="25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ht="18.0" customHeight="1">
      <c r="A487" s="27">
        <v>317.0</v>
      </c>
      <c r="B487" s="28" t="s">
        <v>1039</v>
      </c>
      <c r="C487" s="28">
        <v>331707.0</v>
      </c>
      <c r="D487" s="28" t="s">
        <v>1052</v>
      </c>
      <c r="E487" s="28" t="s">
        <v>1053</v>
      </c>
      <c r="F487" s="28">
        <v>1.0</v>
      </c>
      <c r="G487" s="28" t="s">
        <v>41</v>
      </c>
      <c r="H487" s="28" t="s">
        <v>57</v>
      </c>
      <c r="I487" s="28" t="s">
        <v>57</v>
      </c>
      <c r="J487" s="28"/>
      <c r="K487" s="29" t="s">
        <v>58</v>
      </c>
      <c r="L487" s="26"/>
      <c r="M487" s="25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ht="18.0" customHeight="1">
      <c r="A488" s="27">
        <v>317.0</v>
      </c>
      <c r="B488" s="28" t="s">
        <v>1039</v>
      </c>
      <c r="C488" s="28">
        <v>331708.0</v>
      </c>
      <c r="D488" s="28" t="s">
        <v>1054</v>
      </c>
      <c r="E488" s="28" t="s">
        <v>1055</v>
      </c>
      <c r="F488" s="28">
        <v>1.0</v>
      </c>
      <c r="G488" s="28" t="s">
        <v>41</v>
      </c>
      <c r="H488" s="28" t="s">
        <v>57</v>
      </c>
      <c r="I488" s="28" t="s">
        <v>57</v>
      </c>
      <c r="J488" s="28"/>
      <c r="K488" s="29" t="s">
        <v>58</v>
      </c>
      <c r="L488" s="26"/>
      <c r="M488" s="25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ht="18.0" customHeight="1">
      <c r="A489" s="27">
        <v>317.0</v>
      </c>
      <c r="B489" s="28" t="s">
        <v>1039</v>
      </c>
      <c r="C489" s="28">
        <v>331709.0</v>
      </c>
      <c r="D489" s="28" t="s">
        <v>1056</v>
      </c>
      <c r="E489" s="28" t="s">
        <v>1057</v>
      </c>
      <c r="F489" s="28">
        <v>1.0</v>
      </c>
      <c r="G489" s="28" t="s">
        <v>41</v>
      </c>
      <c r="H489" s="28" t="s">
        <v>52</v>
      </c>
      <c r="I489" s="28" t="s">
        <v>53</v>
      </c>
      <c r="J489" s="28">
        <v>518920.0</v>
      </c>
      <c r="K489" s="29" t="s">
        <v>58</v>
      </c>
      <c r="L489" s="26"/>
      <c r="M489" s="25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ht="18.0" customHeight="1">
      <c r="A490" s="27">
        <v>317.0</v>
      </c>
      <c r="B490" s="28" t="s">
        <v>1039</v>
      </c>
      <c r="C490" s="28">
        <v>331710.0</v>
      </c>
      <c r="D490" s="28" t="s">
        <v>1058</v>
      </c>
      <c r="E490" s="28" t="s">
        <v>1059</v>
      </c>
      <c r="F490" s="28">
        <v>1.0</v>
      </c>
      <c r="G490" s="28" t="s">
        <v>41</v>
      </c>
      <c r="H490" s="28" t="s">
        <v>57</v>
      </c>
      <c r="I490" s="28" t="s">
        <v>57</v>
      </c>
      <c r="J490" s="28"/>
      <c r="K490" s="29" t="s">
        <v>58</v>
      </c>
      <c r="L490" s="26"/>
      <c r="M490" s="25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ht="18.0" customHeight="1">
      <c r="A491" s="27">
        <v>317.0</v>
      </c>
      <c r="B491" s="28" t="s">
        <v>1039</v>
      </c>
      <c r="C491" s="28">
        <v>331711.0</v>
      </c>
      <c r="D491" s="28" t="s">
        <v>1060</v>
      </c>
      <c r="E491" s="28" t="s">
        <v>1061</v>
      </c>
      <c r="F491" s="28">
        <v>1.0</v>
      </c>
      <c r="G491" s="28" t="s">
        <v>41</v>
      </c>
      <c r="H491" s="28" t="s">
        <v>57</v>
      </c>
      <c r="I491" s="28" t="s">
        <v>57</v>
      </c>
      <c r="J491" s="28"/>
      <c r="K491" s="29" t="s">
        <v>58</v>
      </c>
      <c r="L491" s="26"/>
      <c r="M491" s="25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ht="18.0" customHeight="1">
      <c r="A492" s="27">
        <v>317.0</v>
      </c>
      <c r="B492" s="28" t="s">
        <v>1039</v>
      </c>
      <c r="C492" s="28">
        <v>331712.0</v>
      </c>
      <c r="D492" s="28" t="s">
        <v>1062</v>
      </c>
      <c r="E492" s="28" t="s">
        <v>1063</v>
      </c>
      <c r="F492" s="28">
        <v>1.0</v>
      </c>
      <c r="G492" s="28" t="s">
        <v>44</v>
      </c>
      <c r="H492" s="28" t="s">
        <v>61</v>
      </c>
      <c r="I492" s="28" t="s">
        <v>53</v>
      </c>
      <c r="J492" s="28">
        <v>518923.0</v>
      </c>
      <c r="K492" s="29" t="s">
        <v>54</v>
      </c>
      <c r="L492" s="26"/>
      <c r="M492" s="25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ht="18.0" customHeight="1">
      <c r="A493" s="27">
        <v>317.0</v>
      </c>
      <c r="B493" s="28" t="s">
        <v>1039</v>
      </c>
      <c r="C493" s="28">
        <v>331713.0</v>
      </c>
      <c r="D493" s="28" t="s">
        <v>1064</v>
      </c>
      <c r="E493" s="28" t="s">
        <v>1065</v>
      </c>
      <c r="F493" s="28">
        <v>1.0</v>
      </c>
      <c r="G493" s="28" t="s">
        <v>44</v>
      </c>
      <c r="H493" s="28" t="s">
        <v>61</v>
      </c>
      <c r="I493" s="28" t="s">
        <v>53</v>
      </c>
      <c r="J493" s="28">
        <v>518924.0</v>
      </c>
      <c r="K493" s="29" t="s">
        <v>54</v>
      </c>
      <c r="L493" s="26"/>
      <c r="M493" s="25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ht="18.0" customHeight="1">
      <c r="A494" s="27">
        <v>317.0</v>
      </c>
      <c r="B494" s="28" t="s">
        <v>1039</v>
      </c>
      <c r="C494" s="28">
        <v>231701.0</v>
      </c>
      <c r="D494" s="28" t="s">
        <v>1066</v>
      </c>
      <c r="E494" s="28" t="s">
        <v>1067</v>
      </c>
      <c r="F494" s="28">
        <v>2.0</v>
      </c>
      <c r="G494" s="28" t="s">
        <v>41</v>
      </c>
      <c r="H494" s="28" t="s">
        <v>57</v>
      </c>
      <c r="I494" s="28" t="s">
        <v>57</v>
      </c>
      <c r="J494" s="28"/>
      <c r="K494" s="29" t="s">
        <v>58</v>
      </c>
      <c r="L494" s="26"/>
      <c r="M494" s="25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ht="18.0" customHeight="1">
      <c r="A495" s="27">
        <v>317.0</v>
      </c>
      <c r="B495" s="28" t="s">
        <v>1039</v>
      </c>
      <c r="C495" s="28">
        <v>231702.0</v>
      </c>
      <c r="D495" s="28" t="s">
        <v>1068</v>
      </c>
      <c r="E495" s="28" t="s">
        <v>1069</v>
      </c>
      <c r="F495" s="28">
        <v>2.0</v>
      </c>
      <c r="G495" s="28" t="s">
        <v>44</v>
      </c>
      <c r="H495" s="28" t="s">
        <v>119</v>
      </c>
      <c r="I495" s="28" t="s">
        <v>53</v>
      </c>
      <c r="J495" s="28">
        <v>524973.0</v>
      </c>
      <c r="K495" s="29" t="s">
        <v>54</v>
      </c>
      <c r="L495" s="26"/>
      <c r="M495" s="25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ht="18.0" customHeight="1">
      <c r="A496" s="27">
        <v>317.0</v>
      </c>
      <c r="B496" s="28" t="s">
        <v>1039</v>
      </c>
      <c r="C496" s="28">
        <v>231703.0</v>
      </c>
      <c r="D496" s="28" t="s">
        <v>1070</v>
      </c>
      <c r="E496" s="28" t="s">
        <v>1071</v>
      </c>
      <c r="F496" s="28">
        <v>2.0</v>
      </c>
      <c r="G496" s="28" t="s">
        <v>44</v>
      </c>
      <c r="H496" s="28" t="s">
        <v>119</v>
      </c>
      <c r="I496" s="28" t="s">
        <v>53</v>
      </c>
      <c r="J496" s="28">
        <v>259751.0</v>
      </c>
      <c r="K496" s="29" t="s">
        <v>58</v>
      </c>
      <c r="L496" s="26"/>
      <c r="M496" s="25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ht="18.0" customHeight="1">
      <c r="A497" s="27">
        <v>317.0</v>
      </c>
      <c r="B497" s="28" t="s">
        <v>1039</v>
      </c>
      <c r="C497" s="28">
        <v>231704.0</v>
      </c>
      <c r="D497" s="28" t="s">
        <v>1072</v>
      </c>
      <c r="E497" s="28" t="s">
        <v>1073</v>
      </c>
      <c r="F497" s="28">
        <v>2.0</v>
      </c>
      <c r="G497" s="28" t="s">
        <v>41</v>
      </c>
      <c r="H497" s="28" t="s">
        <v>57</v>
      </c>
      <c r="I497" s="28" t="s">
        <v>57</v>
      </c>
      <c r="J497" s="28"/>
      <c r="K497" s="29" t="s">
        <v>58</v>
      </c>
      <c r="L497" s="26"/>
      <c r="M497" s="25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ht="18.0" customHeight="1">
      <c r="A498" s="27">
        <v>317.0</v>
      </c>
      <c r="B498" s="28" t="s">
        <v>1039</v>
      </c>
      <c r="C498" s="28">
        <v>231705.0</v>
      </c>
      <c r="D498" s="28" t="s">
        <v>1074</v>
      </c>
      <c r="E498" s="28" t="s">
        <v>1075</v>
      </c>
      <c r="F498" s="28">
        <v>2.0</v>
      </c>
      <c r="G498" s="28" t="s">
        <v>41</v>
      </c>
      <c r="H498" s="28" t="s">
        <v>57</v>
      </c>
      <c r="I498" s="28" t="s">
        <v>57</v>
      </c>
      <c r="J498" s="28"/>
      <c r="K498" s="29" t="s">
        <v>58</v>
      </c>
      <c r="L498" s="26"/>
      <c r="M498" s="25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ht="18.0" customHeight="1">
      <c r="A499" s="27">
        <v>317.0</v>
      </c>
      <c r="B499" s="28" t="s">
        <v>1039</v>
      </c>
      <c r="C499" s="28">
        <v>231707.0</v>
      </c>
      <c r="D499" s="28" t="s">
        <v>1076</v>
      </c>
      <c r="E499" s="28" t="s">
        <v>1077</v>
      </c>
      <c r="F499" s="28">
        <v>2.0</v>
      </c>
      <c r="G499" s="28" t="s">
        <v>44</v>
      </c>
      <c r="H499" s="28" t="s">
        <v>119</v>
      </c>
      <c r="I499" s="28" t="s">
        <v>53</v>
      </c>
      <c r="J499" s="28">
        <v>524972.0</v>
      </c>
      <c r="K499" s="29" t="s">
        <v>54</v>
      </c>
      <c r="L499" s="26"/>
      <c r="M499" s="25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ht="18.0" customHeight="1">
      <c r="A500" s="27">
        <v>317.0</v>
      </c>
      <c r="B500" s="28" t="s">
        <v>1039</v>
      </c>
      <c r="C500" s="28">
        <v>231709.0</v>
      </c>
      <c r="D500" s="28" t="s">
        <v>1078</v>
      </c>
      <c r="E500" s="28" t="s">
        <v>1079</v>
      </c>
      <c r="F500" s="28">
        <v>2.0</v>
      </c>
      <c r="G500" s="28" t="s">
        <v>41</v>
      </c>
      <c r="H500" s="28" t="s">
        <v>57</v>
      </c>
      <c r="I500" s="28" t="s">
        <v>57</v>
      </c>
      <c r="J500" s="28"/>
      <c r="K500" s="29" t="s">
        <v>58</v>
      </c>
      <c r="L500" s="26"/>
      <c r="M500" s="25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ht="18.0" customHeight="1">
      <c r="A501" s="27">
        <v>317.0</v>
      </c>
      <c r="B501" s="28" t="s">
        <v>1039</v>
      </c>
      <c r="C501" s="28">
        <v>231710.0</v>
      </c>
      <c r="D501" s="28" t="s">
        <v>1080</v>
      </c>
      <c r="E501" s="28" t="s">
        <v>1081</v>
      </c>
      <c r="F501" s="28">
        <v>2.0</v>
      </c>
      <c r="G501" s="28" t="s">
        <v>41</v>
      </c>
      <c r="H501" s="28" t="s">
        <v>130</v>
      </c>
      <c r="I501" s="28" t="s">
        <v>53</v>
      </c>
      <c r="J501" s="28">
        <v>524962.0</v>
      </c>
      <c r="K501" s="29" t="s">
        <v>54</v>
      </c>
      <c r="L501" s="26"/>
      <c r="M501" s="25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ht="18.0" customHeight="1">
      <c r="A502" s="27">
        <v>317.0</v>
      </c>
      <c r="B502" s="28" t="s">
        <v>1039</v>
      </c>
      <c r="C502" s="28">
        <v>231711.0</v>
      </c>
      <c r="D502" s="28" t="s">
        <v>1082</v>
      </c>
      <c r="E502" s="28" t="s">
        <v>1083</v>
      </c>
      <c r="F502" s="28">
        <v>2.0</v>
      </c>
      <c r="G502" s="28" t="s">
        <v>41</v>
      </c>
      <c r="H502" s="28" t="s">
        <v>57</v>
      </c>
      <c r="I502" s="28" t="s">
        <v>57</v>
      </c>
      <c r="J502" s="28"/>
      <c r="K502" s="29" t="s">
        <v>58</v>
      </c>
      <c r="L502" s="26"/>
      <c r="M502" s="25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ht="18.0" customHeight="1">
      <c r="A503" s="27">
        <v>317.0</v>
      </c>
      <c r="B503" s="28" t="s">
        <v>1039</v>
      </c>
      <c r="C503" s="28">
        <v>231713.0</v>
      </c>
      <c r="D503" s="28" t="s">
        <v>1084</v>
      </c>
      <c r="E503" s="28" t="s">
        <v>1085</v>
      </c>
      <c r="F503" s="28">
        <v>2.0</v>
      </c>
      <c r="G503" s="28" t="s">
        <v>44</v>
      </c>
      <c r="H503" s="28" t="s">
        <v>57</v>
      </c>
      <c r="I503" s="28" t="s">
        <v>57</v>
      </c>
      <c r="J503" s="28"/>
      <c r="K503" s="29" t="s">
        <v>58</v>
      </c>
      <c r="L503" s="26"/>
      <c r="M503" s="25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ht="18.0" customHeight="1">
      <c r="A504" s="27">
        <v>317.0</v>
      </c>
      <c r="B504" s="28" t="s">
        <v>1039</v>
      </c>
      <c r="C504" s="28">
        <v>231717.0</v>
      </c>
      <c r="D504" s="28" t="s">
        <v>1086</v>
      </c>
      <c r="E504" s="28" t="s">
        <v>1087</v>
      </c>
      <c r="F504" s="28">
        <v>2.0</v>
      </c>
      <c r="G504" s="28" t="s">
        <v>41</v>
      </c>
      <c r="H504" s="28" t="s">
        <v>57</v>
      </c>
      <c r="I504" s="28" t="s">
        <v>57</v>
      </c>
      <c r="J504" s="28"/>
      <c r="K504" s="29" t="s">
        <v>58</v>
      </c>
      <c r="L504" s="26"/>
      <c r="M504" s="25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ht="18.0" customHeight="1">
      <c r="A505" s="27">
        <v>317.0</v>
      </c>
      <c r="B505" s="28" t="s">
        <v>1039</v>
      </c>
      <c r="C505" s="28">
        <v>231721.0</v>
      </c>
      <c r="D505" s="28" t="s">
        <v>1088</v>
      </c>
      <c r="E505" s="28" t="s">
        <v>1089</v>
      </c>
      <c r="F505" s="28">
        <v>2.0</v>
      </c>
      <c r="G505" s="28" t="s">
        <v>41</v>
      </c>
      <c r="H505" s="28" t="s">
        <v>57</v>
      </c>
      <c r="I505" s="28" t="s">
        <v>57</v>
      </c>
      <c r="J505" s="28"/>
      <c r="K505" s="29" t="s">
        <v>58</v>
      </c>
      <c r="L505" s="26"/>
      <c r="M505" s="25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ht="18.0" customHeight="1">
      <c r="A506" s="27">
        <v>317.0</v>
      </c>
      <c r="B506" s="28" t="s">
        <v>1039</v>
      </c>
      <c r="C506" s="28">
        <v>231724.0</v>
      </c>
      <c r="D506" s="28" t="s">
        <v>1090</v>
      </c>
      <c r="E506" s="28" t="s">
        <v>1091</v>
      </c>
      <c r="F506" s="28">
        <v>2.0</v>
      </c>
      <c r="G506" s="28" t="s">
        <v>44</v>
      </c>
      <c r="H506" s="28" t="s">
        <v>57</v>
      </c>
      <c r="I506" s="28" t="s">
        <v>57</v>
      </c>
      <c r="J506" s="28"/>
      <c r="K506" s="29" t="s">
        <v>58</v>
      </c>
      <c r="L506" s="26"/>
      <c r="M506" s="25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ht="18.0" customHeight="1">
      <c r="A507" s="27">
        <v>317.0</v>
      </c>
      <c r="B507" s="28" t="s">
        <v>1039</v>
      </c>
      <c r="C507" s="28">
        <v>231725.0</v>
      </c>
      <c r="D507" s="28" t="s">
        <v>1092</v>
      </c>
      <c r="E507" s="28" t="s">
        <v>1093</v>
      </c>
      <c r="F507" s="28">
        <v>2.0</v>
      </c>
      <c r="G507" s="28" t="s">
        <v>44</v>
      </c>
      <c r="H507" s="28" t="s">
        <v>57</v>
      </c>
      <c r="I507" s="28" t="s">
        <v>57</v>
      </c>
      <c r="J507" s="28"/>
      <c r="K507" s="29" t="s">
        <v>58</v>
      </c>
      <c r="L507" s="26"/>
      <c r="M507" s="25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ht="18.0" customHeight="1">
      <c r="A508" s="27">
        <v>317.0</v>
      </c>
      <c r="B508" s="28" t="s">
        <v>1039</v>
      </c>
      <c r="C508" s="28">
        <v>131701.0</v>
      </c>
      <c r="D508" s="28" t="s">
        <v>1094</v>
      </c>
      <c r="E508" s="28" t="s">
        <v>1095</v>
      </c>
      <c r="F508" s="28">
        <v>3.0</v>
      </c>
      <c r="G508" s="28" t="s">
        <v>41</v>
      </c>
      <c r="H508" s="28" t="s">
        <v>130</v>
      </c>
      <c r="I508" s="28" t="s">
        <v>53</v>
      </c>
      <c r="J508" s="28">
        <v>519531.0</v>
      </c>
      <c r="K508" s="29" t="s">
        <v>54</v>
      </c>
      <c r="L508" s="26"/>
      <c r="M508" s="25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ht="18.0" customHeight="1">
      <c r="A509" s="27">
        <v>317.0</v>
      </c>
      <c r="B509" s="28" t="s">
        <v>1039</v>
      </c>
      <c r="C509" s="28">
        <v>131702.0</v>
      </c>
      <c r="D509" s="28" t="s">
        <v>1096</v>
      </c>
      <c r="E509" s="28" t="s">
        <v>1097</v>
      </c>
      <c r="F509" s="28">
        <v>3.0</v>
      </c>
      <c r="G509" s="28" t="s">
        <v>41</v>
      </c>
      <c r="H509" s="28" t="s">
        <v>130</v>
      </c>
      <c r="I509" s="28" t="s">
        <v>53</v>
      </c>
      <c r="J509" s="28">
        <v>519535.0</v>
      </c>
      <c r="K509" s="29" t="s">
        <v>54</v>
      </c>
      <c r="L509" s="26"/>
      <c r="M509" s="25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ht="18.0" customHeight="1">
      <c r="A510" s="27">
        <v>317.0</v>
      </c>
      <c r="B510" s="28" t="s">
        <v>1039</v>
      </c>
      <c r="C510" s="28">
        <v>131703.0</v>
      </c>
      <c r="D510" s="28" t="s">
        <v>1098</v>
      </c>
      <c r="E510" s="28" t="s">
        <v>1099</v>
      </c>
      <c r="F510" s="28">
        <v>3.0</v>
      </c>
      <c r="G510" s="28" t="s">
        <v>41</v>
      </c>
      <c r="H510" s="28" t="s">
        <v>130</v>
      </c>
      <c r="I510" s="28" t="s">
        <v>53</v>
      </c>
      <c r="J510" s="28">
        <v>519515.0</v>
      </c>
      <c r="K510" s="29" t="s">
        <v>54</v>
      </c>
      <c r="L510" s="26"/>
      <c r="M510" s="25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ht="18.0" customHeight="1">
      <c r="A511" s="27">
        <v>317.0</v>
      </c>
      <c r="B511" s="28" t="s">
        <v>1039</v>
      </c>
      <c r="C511" s="28">
        <v>131704.0</v>
      </c>
      <c r="D511" s="28" t="s">
        <v>1100</v>
      </c>
      <c r="E511" s="28" t="s">
        <v>1101</v>
      </c>
      <c r="F511" s="28">
        <v>3.0</v>
      </c>
      <c r="G511" s="28" t="s">
        <v>41</v>
      </c>
      <c r="H511" s="28" t="s">
        <v>130</v>
      </c>
      <c r="I511" s="28" t="s">
        <v>53</v>
      </c>
      <c r="J511" s="28">
        <v>519538.0</v>
      </c>
      <c r="K511" s="29" t="s">
        <v>58</v>
      </c>
      <c r="L511" s="26"/>
      <c r="M511" s="25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ht="18.0" customHeight="1">
      <c r="A512" s="27">
        <v>317.0</v>
      </c>
      <c r="B512" s="28" t="s">
        <v>1039</v>
      </c>
      <c r="C512" s="28">
        <v>131707.0</v>
      </c>
      <c r="D512" s="28" t="s">
        <v>1102</v>
      </c>
      <c r="E512" s="28" t="s">
        <v>1103</v>
      </c>
      <c r="F512" s="28">
        <v>3.0</v>
      </c>
      <c r="G512" s="28" t="s">
        <v>44</v>
      </c>
      <c r="H512" s="28" t="s">
        <v>119</v>
      </c>
      <c r="I512" s="28" t="s">
        <v>53</v>
      </c>
      <c r="J512" s="28">
        <v>519516.0</v>
      </c>
      <c r="K512" s="29" t="s">
        <v>54</v>
      </c>
      <c r="L512" s="26"/>
      <c r="M512" s="25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ht="18.0" customHeight="1">
      <c r="A513" s="27">
        <v>317.0</v>
      </c>
      <c r="B513" s="28" t="s">
        <v>1039</v>
      </c>
      <c r="C513" s="28">
        <v>131716.0</v>
      </c>
      <c r="D513" s="28" t="s">
        <v>1104</v>
      </c>
      <c r="E513" s="28" t="s">
        <v>1105</v>
      </c>
      <c r="F513" s="28">
        <v>3.0</v>
      </c>
      <c r="G513" s="28" t="s">
        <v>41</v>
      </c>
      <c r="H513" s="28" t="s">
        <v>130</v>
      </c>
      <c r="I513" s="28" t="s">
        <v>53</v>
      </c>
      <c r="J513" s="28">
        <v>519520.0</v>
      </c>
      <c r="K513" s="29" t="s">
        <v>54</v>
      </c>
      <c r="L513" s="26"/>
      <c r="M513" s="25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ht="18.0" customHeight="1">
      <c r="A514" s="27">
        <v>319.0</v>
      </c>
      <c r="B514" s="28" t="s">
        <v>1106</v>
      </c>
      <c r="C514" s="28">
        <v>331901.0</v>
      </c>
      <c r="D514" s="28" t="s">
        <v>1107</v>
      </c>
      <c r="E514" s="28" t="s">
        <v>1108</v>
      </c>
      <c r="F514" s="28">
        <v>1.0</v>
      </c>
      <c r="G514" s="28" t="s">
        <v>44</v>
      </c>
      <c r="H514" s="28" t="s">
        <v>61</v>
      </c>
      <c r="I514" s="28" t="s">
        <v>53</v>
      </c>
      <c r="J514" s="28"/>
      <c r="K514" s="29" t="s">
        <v>54</v>
      </c>
      <c r="L514" s="26"/>
      <c r="M514" s="25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ht="18.0" customHeight="1">
      <c r="A515" s="27">
        <v>319.0</v>
      </c>
      <c r="B515" s="28" t="s">
        <v>1106</v>
      </c>
      <c r="C515" s="28">
        <v>331902.0</v>
      </c>
      <c r="D515" s="28" t="s">
        <v>1109</v>
      </c>
      <c r="E515" s="28" t="s">
        <v>1110</v>
      </c>
      <c r="F515" s="28">
        <v>1.0</v>
      </c>
      <c r="G515" s="28" t="s">
        <v>44</v>
      </c>
      <c r="H515" s="28" t="s">
        <v>57</v>
      </c>
      <c r="I515" s="28" t="s">
        <v>57</v>
      </c>
      <c r="J515" s="28"/>
      <c r="K515" s="29" t="s">
        <v>58</v>
      </c>
      <c r="L515" s="26"/>
      <c r="M515" s="25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ht="18.0" customHeight="1">
      <c r="A516" s="27">
        <v>319.0</v>
      </c>
      <c r="B516" s="28" t="s">
        <v>1106</v>
      </c>
      <c r="C516" s="28">
        <v>331903.0</v>
      </c>
      <c r="D516" s="28" t="s">
        <v>1111</v>
      </c>
      <c r="E516" s="28" t="s">
        <v>1112</v>
      </c>
      <c r="F516" s="28">
        <v>1.0</v>
      </c>
      <c r="G516" s="28" t="s">
        <v>44</v>
      </c>
      <c r="H516" s="28" t="s">
        <v>61</v>
      </c>
      <c r="I516" s="28" t="s">
        <v>53</v>
      </c>
      <c r="J516" s="28">
        <v>270228.0</v>
      </c>
      <c r="K516" s="29" t="s">
        <v>54</v>
      </c>
      <c r="L516" s="26"/>
      <c r="M516" s="25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ht="18.0" customHeight="1">
      <c r="A517" s="27">
        <v>319.0</v>
      </c>
      <c r="B517" s="28" t="s">
        <v>1106</v>
      </c>
      <c r="C517" s="28">
        <v>231903.0</v>
      </c>
      <c r="D517" s="28" t="s">
        <v>1113</v>
      </c>
      <c r="E517" s="28" t="s">
        <v>1114</v>
      </c>
      <c r="F517" s="28">
        <v>2.0</v>
      </c>
      <c r="G517" s="28" t="s">
        <v>44</v>
      </c>
      <c r="H517" s="28" t="s">
        <v>57</v>
      </c>
      <c r="I517" s="28" t="s">
        <v>57</v>
      </c>
      <c r="J517" s="28"/>
      <c r="K517" s="29" t="s">
        <v>58</v>
      </c>
      <c r="L517" s="26"/>
      <c r="M517" s="25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ht="18.0" customHeight="1">
      <c r="A518" s="27">
        <v>319.0</v>
      </c>
      <c r="B518" s="28" t="s">
        <v>1106</v>
      </c>
      <c r="C518" s="28">
        <v>231904.0</v>
      </c>
      <c r="D518" s="28" t="s">
        <v>1115</v>
      </c>
      <c r="E518" s="28" t="s">
        <v>1116</v>
      </c>
      <c r="F518" s="28">
        <v>2.0</v>
      </c>
      <c r="G518" s="28" t="s">
        <v>44</v>
      </c>
      <c r="H518" s="28" t="s">
        <v>119</v>
      </c>
      <c r="I518" s="28" t="s">
        <v>53</v>
      </c>
      <c r="J518" s="28">
        <v>261191.0</v>
      </c>
      <c r="K518" s="29" t="s">
        <v>54</v>
      </c>
      <c r="L518" s="26"/>
      <c r="M518" s="25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ht="18.0" customHeight="1">
      <c r="A519" s="27">
        <v>319.0</v>
      </c>
      <c r="B519" s="28" t="s">
        <v>1106</v>
      </c>
      <c r="C519" s="28">
        <v>231905.0</v>
      </c>
      <c r="D519" s="28" t="s">
        <v>1117</v>
      </c>
      <c r="E519" s="28" t="s">
        <v>1118</v>
      </c>
      <c r="F519" s="28">
        <v>2.0</v>
      </c>
      <c r="G519" s="28" t="s">
        <v>44</v>
      </c>
      <c r="H519" s="28" t="s">
        <v>119</v>
      </c>
      <c r="I519" s="28" t="s">
        <v>53</v>
      </c>
      <c r="J519" s="28"/>
      <c r="K519" s="29" t="s">
        <v>54</v>
      </c>
      <c r="L519" s="26"/>
      <c r="M519" s="25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ht="18.0" customHeight="1">
      <c r="A520" s="27">
        <v>319.0</v>
      </c>
      <c r="B520" s="28" t="s">
        <v>1106</v>
      </c>
      <c r="C520" s="28">
        <v>231907.0</v>
      </c>
      <c r="D520" s="28" t="s">
        <v>1119</v>
      </c>
      <c r="E520" s="28" t="s">
        <v>1120</v>
      </c>
      <c r="F520" s="28">
        <v>2.0</v>
      </c>
      <c r="G520" s="28" t="s">
        <v>44</v>
      </c>
      <c r="H520" s="28" t="s">
        <v>57</v>
      </c>
      <c r="I520" s="28" t="s">
        <v>57</v>
      </c>
      <c r="J520" s="28"/>
      <c r="K520" s="29" t="s">
        <v>58</v>
      </c>
      <c r="L520" s="26"/>
      <c r="M520" s="25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ht="18.0" customHeight="1">
      <c r="A521" s="27">
        <v>319.0</v>
      </c>
      <c r="B521" s="28" t="s">
        <v>1106</v>
      </c>
      <c r="C521" s="28">
        <v>131901.0</v>
      </c>
      <c r="D521" s="28" t="s">
        <v>1121</v>
      </c>
      <c r="E521" s="28" t="s">
        <v>1122</v>
      </c>
      <c r="F521" s="28">
        <v>3.0</v>
      </c>
      <c r="G521" s="28" t="s">
        <v>44</v>
      </c>
      <c r="H521" s="28" t="s">
        <v>57</v>
      </c>
      <c r="I521" s="28" t="s">
        <v>57</v>
      </c>
      <c r="J521" s="28"/>
      <c r="K521" s="29" t="s">
        <v>58</v>
      </c>
      <c r="L521" s="26"/>
      <c r="M521" s="25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ht="18.0" customHeight="1">
      <c r="A522" s="27">
        <v>319.0</v>
      </c>
      <c r="B522" s="28" t="s">
        <v>1106</v>
      </c>
      <c r="C522" s="28">
        <v>131902.0</v>
      </c>
      <c r="D522" s="28" t="s">
        <v>1123</v>
      </c>
      <c r="E522" s="28" t="s">
        <v>1124</v>
      </c>
      <c r="F522" s="28">
        <v>3.0</v>
      </c>
      <c r="G522" s="28" t="s">
        <v>44</v>
      </c>
      <c r="H522" s="28" t="s">
        <v>57</v>
      </c>
      <c r="I522" s="28" t="s">
        <v>57</v>
      </c>
      <c r="J522" s="28"/>
      <c r="K522" s="29" t="s">
        <v>58</v>
      </c>
      <c r="L522" s="26"/>
      <c r="M522" s="25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ht="18.0" customHeight="1">
      <c r="A523" s="27">
        <v>319.0</v>
      </c>
      <c r="B523" s="28" t="s">
        <v>1106</v>
      </c>
      <c r="C523" s="28">
        <v>131903.0</v>
      </c>
      <c r="D523" s="28" t="s">
        <v>1125</v>
      </c>
      <c r="E523" s="28" t="s">
        <v>1126</v>
      </c>
      <c r="F523" s="28">
        <v>3.0</v>
      </c>
      <c r="G523" s="28" t="s">
        <v>44</v>
      </c>
      <c r="H523" s="28" t="s">
        <v>119</v>
      </c>
      <c r="I523" s="28" t="s">
        <v>53</v>
      </c>
      <c r="J523" s="28">
        <v>257867.0</v>
      </c>
      <c r="K523" s="29" t="s">
        <v>54</v>
      </c>
      <c r="L523" s="26"/>
      <c r="M523" s="25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ht="18.0" customHeight="1">
      <c r="A524" s="27">
        <v>319.0</v>
      </c>
      <c r="B524" s="28" t="s">
        <v>1106</v>
      </c>
      <c r="C524" s="28">
        <v>131904.0</v>
      </c>
      <c r="D524" s="28" t="s">
        <v>1127</v>
      </c>
      <c r="E524" s="28" t="s">
        <v>1128</v>
      </c>
      <c r="F524" s="28">
        <v>3.0</v>
      </c>
      <c r="G524" s="28" t="s">
        <v>44</v>
      </c>
      <c r="H524" s="28" t="s">
        <v>119</v>
      </c>
      <c r="I524" s="28" t="s">
        <v>53</v>
      </c>
      <c r="J524" s="28">
        <v>261195.0</v>
      </c>
      <c r="K524" s="29" t="s">
        <v>54</v>
      </c>
      <c r="L524" s="26"/>
      <c r="M524" s="25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ht="18.0" customHeight="1">
      <c r="A525" s="27">
        <v>341.0</v>
      </c>
      <c r="B525" s="28" t="s">
        <v>1129</v>
      </c>
      <c r="C525" s="28">
        <v>334101.0</v>
      </c>
      <c r="D525" s="28" t="s">
        <v>1130</v>
      </c>
      <c r="E525" s="28" t="s">
        <v>1131</v>
      </c>
      <c r="F525" s="28">
        <v>1.0</v>
      </c>
      <c r="G525" s="28" t="s">
        <v>41</v>
      </c>
      <c r="H525" s="28" t="s">
        <v>57</v>
      </c>
      <c r="I525" s="28" t="s">
        <v>57</v>
      </c>
      <c r="J525" s="28"/>
      <c r="K525" s="29" t="s">
        <v>58</v>
      </c>
      <c r="L525" s="26"/>
      <c r="M525" s="25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ht="18.0" customHeight="1">
      <c r="A526" s="27">
        <v>341.0</v>
      </c>
      <c r="B526" s="28" t="s">
        <v>1129</v>
      </c>
      <c r="C526" s="28">
        <v>334102.0</v>
      </c>
      <c r="D526" s="28" t="s">
        <v>1132</v>
      </c>
      <c r="E526" s="28" t="s">
        <v>1133</v>
      </c>
      <c r="F526" s="28">
        <v>1.0</v>
      </c>
      <c r="G526" s="28" t="s">
        <v>41</v>
      </c>
      <c r="H526" s="28" t="s">
        <v>57</v>
      </c>
      <c r="I526" s="28" t="s">
        <v>57</v>
      </c>
      <c r="J526" s="28"/>
      <c r="K526" s="29" t="s">
        <v>58</v>
      </c>
      <c r="L526" s="26"/>
      <c r="M526" s="25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ht="18.0" customHeight="1">
      <c r="A527" s="27">
        <v>341.0</v>
      </c>
      <c r="B527" s="28" t="s">
        <v>1129</v>
      </c>
      <c r="C527" s="28">
        <v>334103.0</v>
      </c>
      <c r="D527" s="28" t="s">
        <v>1134</v>
      </c>
      <c r="E527" s="28" t="s">
        <v>1135</v>
      </c>
      <c r="F527" s="28">
        <v>1.0</v>
      </c>
      <c r="G527" s="28" t="s">
        <v>41</v>
      </c>
      <c r="H527" s="28" t="s">
        <v>57</v>
      </c>
      <c r="I527" s="28" t="s">
        <v>57</v>
      </c>
      <c r="J527" s="28"/>
      <c r="K527" s="29" t="s">
        <v>58</v>
      </c>
      <c r="L527" s="26"/>
      <c r="M527" s="25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ht="18.0" customHeight="1">
      <c r="A528" s="27">
        <v>341.0</v>
      </c>
      <c r="B528" s="28" t="s">
        <v>1129</v>
      </c>
      <c r="C528" s="28">
        <v>334104.0</v>
      </c>
      <c r="D528" s="28" t="s">
        <v>1136</v>
      </c>
      <c r="E528" s="28" t="s">
        <v>1137</v>
      </c>
      <c r="F528" s="28">
        <v>1.0</v>
      </c>
      <c r="G528" s="28" t="s">
        <v>41</v>
      </c>
      <c r="H528" s="28" t="s">
        <v>52</v>
      </c>
      <c r="I528" s="28" t="s">
        <v>53</v>
      </c>
      <c r="J528" s="28">
        <v>270242.0</v>
      </c>
      <c r="K528" s="29" t="s">
        <v>54</v>
      </c>
      <c r="L528" s="26"/>
      <c r="M528" s="25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ht="18.0" customHeight="1">
      <c r="A529" s="27">
        <v>341.0</v>
      </c>
      <c r="B529" s="28" t="s">
        <v>1129</v>
      </c>
      <c r="C529" s="28">
        <v>334105.0</v>
      </c>
      <c r="D529" s="28" t="s">
        <v>1138</v>
      </c>
      <c r="E529" s="28" t="s">
        <v>1139</v>
      </c>
      <c r="F529" s="28">
        <v>1.0</v>
      </c>
      <c r="G529" s="28" t="s">
        <v>41</v>
      </c>
      <c r="H529" s="28" t="s">
        <v>57</v>
      </c>
      <c r="I529" s="28" t="s">
        <v>57</v>
      </c>
      <c r="J529" s="28"/>
      <c r="K529" s="29" t="s">
        <v>58</v>
      </c>
      <c r="L529" s="26"/>
      <c r="M529" s="25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ht="18.0" customHeight="1">
      <c r="A530" s="27">
        <v>341.0</v>
      </c>
      <c r="B530" s="28" t="s">
        <v>1129</v>
      </c>
      <c r="C530" s="28">
        <v>334106.0</v>
      </c>
      <c r="D530" s="28" t="s">
        <v>1140</v>
      </c>
      <c r="E530" s="28" t="s">
        <v>1141</v>
      </c>
      <c r="F530" s="28">
        <v>1.0</v>
      </c>
      <c r="G530" s="28" t="s">
        <v>41</v>
      </c>
      <c r="H530" s="28" t="s">
        <v>57</v>
      </c>
      <c r="I530" s="28" t="s">
        <v>57</v>
      </c>
      <c r="J530" s="28"/>
      <c r="K530" s="29" t="s">
        <v>58</v>
      </c>
      <c r="L530" s="26"/>
      <c r="M530" s="25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ht="18.0" customHeight="1">
      <c r="A531" s="27">
        <v>341.0</v>
      </c>
      <c r="B531" s="28" t="s">
        <v>1129</v>
      </c>
      <c r="C531" s="28">
        <v>334107.0</v>
      </c>
      <c r="D531" s="28" t="s">
        <v>1142</v>
      </c>
      <c r="E531" s="28" t="s">
        <v>1143</v>
      </c>
      <c r="F531" s="28">
        <v>1.0</v>
      </c>
      <c r="G531" s="28" t="s">
        <v>41</v>
      </c>
      <c r="H531" s="28" t="s">
        <v>52</v>
      </c>
      <c r="I531" s="28" t="s">
        <v>53</v>
      </c>
      <c r="J531" s="28"/>
      <c r="K531" s="29" t="s">
        <v>54</v>
      </c>
      <c r="L531" s="26"/>
      <c r="M531" s="25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ht="18.0" customHeight="1">
      <c r="A532" s="27">
        <v>341.0</v>
      </c>
      <c r="B532" s="28" t="s">
        <v>1129</v>
      </c>
      <c r="C532" s="28">
        <v>334108.0</v>
      </c>
      <c r="D532" s="28" t="s">
        <v>1144</v>
      </c>
      <c r="E532" s="28" t="s">
        <v>1145</v>
      </c>
      <c r="F532" s="28">
        <v>1.0</v>
      </c>
      <c r="G532" s="28" t="s">
        <v>41</v>
      </c>
      <c r="H532" s="28" t="s">
        <v>57</v>
      </c>
      <c r="I532" s="28" t="s">
        <v>57</v>
      </c>
      <c r="J532" s="28"/>
      <c r="K532" s="29" t="s">
        <v>58</v>
      </c>
      <c r="L532" s="26"/>
      <c r="M532" s="25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ht="18.0" customHeight="1">
      <c r="A533" s="27">
        <v>341.0</v>
      </c>
      <c r="B533" s="28" t="s">
        <v>1129</v>
      </c>
      <c r="C533" s="28">
        <v>334109.0</v>
      </c>
      <c r="D533" s="28" t="s">
        <v>1146</v>
      </c>
      <c r="E533" s="28" t="s">
        <v>1147</v>
      </c>
      <c r="F533" s="28">
        <v>1.0</v>
      </c>
      <c r="G533" s="28" t="s">
        <v>41</v>
      </c>
      <c r="H533" s="28" t="s">
        <v>52</v>
      </c>
      <c r="I533" s="28" t="s">
        <v>53</v>
      </c>
      <c r="J533" s="28">
        <v>270243.0</v>
      </c>
      <c r="K533" s="29" t="s">
        <v>54</v>
      </c>
      <c r="L533" s="26"/>
      <c r="M533" s="25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ht="18.0" customHeight="1">
      <c r="A534" s="27">
        <v>341.0</v>
      </c>
      <c r="B534" s="28" t="s">
        <v>1129</v>
      </c>
      <c r="C534" s="28">
        <v>334110.0</v>
      </c>
      <c r="D534" s="28" t="s">
        <v>1148</v>
      </c>
      <c r="E534" s="28" t="s">
        <v>1149</v>
      </c>
      <c r="F534" s="28">
        <v>1.0</v>
      </c>
      <c r="G534" s="28" t="s">
        <v>41</v>
      </c>
      <c r="H534" s="28" t="s">
        <v>57</v>
      </c>
      <c r="I534" s="28" t="s">
        <v>57</v>
      </c>
      <c r="J534" s="28"/>
      <c r="K534" s="29" t="s">
        <v>58</v>
      </c>
      <c r="L534" s="26"/>
      <c r="M534" s="25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ht="18.0" customHeight="1">
      <c r="A535" s="27">
        <v>341.0</v>
      </c>
      <c r="B535" s="28" t="s">
        <v>1129</v>
      </c>
      <c r="C535" s="28">
        <v>334111.0</v>
      </c>
      <c r="D535" s="28" t="s">
        <v>1150</v>
      </c>
      <c r="E535" s="28" t="s">
        <v>1151</v>
      </c>
      <c r="F535" s="28">
        <v>1.0</v>
      </c>
      <c r="G535" s="28" t="s">
        <v>41</v>
      </c>
      <c r="H535" s="28" t="s">
        <v>57</v>
      </c>
      <c r="I535" s="28" t="s">
        <v>57</v>
      </c>
      <c r="J535" s="28"/>
      <c r="K535" s="29" t="s">
        <v>58</v>
      </c>
      <c r="L535" s="26"/>
      <c r="M535" s="25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ht="18.0" customHeight="1">
      <c r="A536" s="27">
        <v>341.0</v>
      </c>
      <c r="B536" s="28" t="s">
        <v>1129</v>
      </c>
      <c r="C536" s="28">
        <v>234101.0</v>
      </c>
      <c r="D536" s="28" t="s">
        <v>1152</v>
      </c>
      <c r="E536" s="28" t="s">
        <v>1153</v>
      </c>
      <c r="F536" s="28">
        <v>2.0</v>
      </c>
      <c r="G536" s="28" t="s">
        <v>41</v>
      </c>
      <c r="H536" s="28" t="s">
        <v>130</v>
      </c>
      <c r="I536" s="28" t="s">
        <v>53</v>
      </c>
      <c r="J536" s="28">
        <v>265838.0</v>
      </c>
      <c r="K536" s="29" t="s">
        <v>54</v>
      </c>
      <c r="L536" s="26"/>
      <c r="M536" s="25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ht="18.0" customHeight="1">
      <c r="A537" s="27">
        <v>341.0</v>
      </c>
      <c r="B537" s="28" t="s">
        <v>1129</v>
      </c>
      <c r="C537" s="28">
        <v>234102.0</v>
      </c>
      <c r="D537" s="28" t="s">
        <v>1154</v>
      </c>
      <c r="E537" s="28" t="s">
        <v>1155</v>
      </c>
      <c r="F537" s="28">
        <v>2.0</v>
      </c>
      <c r="G537" s="28" t="s">
        <v>41</v>
      </c>
      <c r="H537" s="28" t="s">
        <v>130</v>
      </c>
      <c r="I537" s="28" t="s">
        <v>53</v>
      </c>
      <c r="J537" s="28">
        <v>265839.0</v>
      </c>
      <c r="K537" s="29" t="s">
        <v>54</v>
      </c>
      <c r="L537" s="26"/>
      <c r="M537" s="25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ht="18.0" customHeight="1">
      <c r="A538" s="27">
        <v>341.0</v>
      </c>
      <c r="B538" s="28" t="s">
        <v>1129</v>
      </c>
      <c r="C538" s="28">
        <v>234104.0</v>
      </c>
      <c r="D538" s="28" t="s">
        <v>1156</v>
      </c>
      <c r="E538" s="28" t="s">
        <v>1157</v>
      </c>
      <c r="F538" s="28">
        <v>2.0</v>
      </c>
      <c r="G538" s="28" t="s">
        <v>44</v>
      </c>
      <c r="H538" s="28" t="s">
        <v>119</v>
      </c>
      <c r="I538" s="28" t="s">
        <v>53</v>
      </c>
      <c r="J538" s="28">
        <v>265851.0</v>
      </c>
      <c r="K538" s="29" t="s">
        <v>54</v>
      </c>
      <c r="L538" s="26"/>
      <c r="M538" s="25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ht="18.0" customHeight="1">
      <c r="A539" s="27">
        <v>341.0</v>
      </c>
      <c r="B539" s="28" t="s">
        <v>1129</v>
      </c>
      <c r="C539" s="28">
        <v>234106.0</v>
      </c>
      <c r="D539" s="28" t="s">
        <v>1158</v>
      </c>
      <c r="E539" s="28" t="s">
        <v>1159</v>
      </c>
      <c r="F539" s="28">
        <v>2.0</v>
      </c>
      <c r="G539" s="28" t="s">
        <v>41</v>
      </c>
      <c r="H539" s="28" t="s">
        <v>130</v>
      </c>
      <c r="I539" s="28" t="s">
        <v>53</v>
      </c>
      <c r="J539" s="28">
        <v>270233.0</v>
      </c>
      <c r="K539" s="29" t="s">
        <v>54</v>
      </c>
      <c r="L539" s="26"/>
      <c r="M539" s="25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ht="18.0" customHeight="1">
      <c r="A540" s="27">
        <v>341.0</v>
      </c>
      <c r="B540" s="28" t="s">
        <v>1129</v>
      </c>
      <c r="C540" s="28">
        <v>134101.0</v>
      </c>
      <c r="D540" s="28" t="s">
        <v>1160</v>
      </c>
      <c r="E540" s="28" t="s">
        <v>1161</v>
      </c>
      <c r="F540" s="28">
        <v>3.0</v>
      </c>
      <c r="G540" s="28" t="s">
        <v>41</v>
      </c>
      <c r="H540" s="28" t="s">
        <v>130</v>
      </c>
      <c r="I540" s="28" t="s">
        <v>53</v>
      </c>
      <c r="J540" s="28">
        <v>257851.0</v>
      </c>
      <c r="K540" s="29" t="s">
        <v>58</v>
      </c>
      <c r="L540" s="26"/>
      <c r="M540" s="25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ht="18.0" customHeight="1">
      <c r="A541" s="27">
        <v>341.0</v>
      </c>
      <c r="B541" s="28" t="s">
        <v>1129</v>
      </c>
      <c r="C541" s="28">
        <v>134102.0</v>
      </c>
      <c r="D541" s="28" t="s">
        <v>1162</v>
      </c>
      <c r="E541" s="28" t="s">
        <v>1163</v>
      </c>
      <c r="F541" s="28">
        <v>3.0</v>
      </c>
      <c r="G541" s="28" t="s">
        <v>41</v>
      </c>
      <c r="H541" s="28" t="s">
        <v>130</v>
      </c>
      <c r="I541" s="28" t="s">
        <v>53</v>
      </c>
      <c r="J541" s="28"/>
      <c r="K541" s="29" t="s">
        <v>58</v>
      </c>
      <c r="L541" s="26"/>
      <c r="M541" s="25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ht="18.0" customHeight="1">
      <c r="A542" s="27">
        <v>341.0</v>
      </c>
      <c r="B542" s="28" t="s">
        <v>1129</v>
      </c>
      <c r="C542" s="28">
        <v>34101.0</v>
      </c>
      <c r="D542" s="28" t="s">
        <v>1164</v>
      </c>
      <c r="E542" s="28" t="s">
        <v>1165</v>
      </c>
      <c r="F542" s="28">
        <v>4.0</v>
      </c>
      <c r="G542" s="28" t="s">
        <v>41</v>
      </c>
      <c r="H542" s="28" t="s">
        <v>130</v>
      </c>
      <c r="I542" s="28" t="s">
        <v>53</v>
      </c>
      <c r="J542" s="28"/>
      <c r="K542" s="29" t="s">
        <v>54</v>
      </c>
      <c r="L542" s="26"/>
      <c r="M542" s="25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ht="18.0" customHeight="1">
      <c r="A543" s="27">
        <v>341.0</v>
      </c>
      <c r="B543" s="28" t="s">
        <v>1129</v>
      </c>
      <c r="C543" s="28">
        <v>34102.0</v>
      </c>
      <c r="D543" s="28" t="s">
        <v>1166</v>
      </c>
      <c r="E543" s="28" t="s">
        <v>1167</v>
      </c>
      <c r="F543" s="28">
        <v>4.0</v>
      </c>
      <c r="G543" s="28" t="s">
        <v>41</v>
      </c>
      <c r="H543" s="28" t="s">
        <v>57</v>
      </c>
      <c r="I543" s="28" t="s">
        <v>57</v>
      </c>
      <c r="J543" s="28"/>
      <c r="K543" s="29" t="s">
        <v>58</v>
      </c>
      <c r="L543" s="26"/>
      <c r="M543" s="25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ht="18.0" customHeight="1">
      <c r="A544" s="27">
        <v>341.0</v>
      </c>
      <c r="B544" s="28" t="s">
        <v>1129</v>
      </c>
      <c r="C544" s="28">
        <v>34103.0</v>
      </c>
      <c r="D544" s="28" t="s">
        <v>1168</v>
      </c>
      <c r="E544" s="28" t="s">
        <v>1169</v>
      </c>
      <c r="F544" s="28">
        <v>4.0</v>
      </c>
      <c r="G544" s="28" t="s">
        <v>41</v>
      </c>
      <c r="H544" s="28" t="s">
        <v>130</v>
      </c>
      <c r="I544" s="28" t="s">
        <v>53</v>
      </c>
      <c r="J544" s="28">
        <v>265830.0</v>
      </c>
      <c r="K544" s="29" t="s">
        <v>54</v>
      </c>
      <c r="L544" s="26"/>
      <c r="M544" s="25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ht="18.0" customHeight="1">
      <c r="A545" s="27">
        <v>341.0</v>
      </c>
      <c r="B545" s="28" t="s">
        <v>1129</v>
      </c>
      <c r="C545" s="28">
        <v>34104.0</v>
      </c>
      <c r="D545" s="28" t="s">
        <v>1170</v>
      </c>
      <c r="E545" s="28" t="s">
        <v>1171</v>
      </c>
      <c r="F545" s="28">
        <v>4.0</v>
      </c>
      <c r="G545" s="28" t="s">
        <v>41</v>
      </c>
      <c r="H545" s="28" t="s">
        <v>130</v>
      </c>
      <c r="I545" s="28" t="s">
        <v>53</v>
      </c>
      <c r="J545" s="28">
        <v>513030.0</v>
      </c>
      <c r="K545" s="29" t="s">
        <v>58</v>
      </c>
      <c r="L545" s="26"/>
      <c r="M545" s="25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ht="18.0" customHeight="1">
      <c r="A546" s="27">
        <v>341.0</v>
      </c>
      <c r="B546" s="28" t="s">
        <v>1129</v>
      </c>
      <c r="C546" s="28">
        <v>34105.0</v>
      </c>
      <c r="D546" s="28" t="s">
        <v>1172</v>
      </c>
      <c r="E546" s="28" t="s">
        <v>1173</v>
      </c>
      <c r="F546" s="28">
        <v>4.0</v>
      </c>
      <c r="G546" s="28" t="s">
        <v>41</v>
      </c>
      <c r="H546" s="28" t="s">
        <v>130</v>
      </c>
      <c r="I546" s="28" t="s">
        <v>53</v>
      </c>
      <c r="J546" s="28"/>
      <c r="K546" s="29" t="s">
        <v>58</v>
      </c>
      <c r="L546" s="26"/>
      <c r="M546" s="25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ht="18.0" customHeight="1">
      <c r="A547" s="27">
        <v>350.0</v>
      </c>
      <c r="B547" s="28" t="s">
        <v>1174</v>
      </c>
      <c r="C547" s="28">
        <v>335001.0</v>
      </c>
      <c r="D547" s="28" t="s">
        <v>1175</v>
      </c>
      <c r="E547" s="28" t="s">
        <v>1176</v>
      </c>
      <c r="F547" s="28">
        <v>1.0</v>
      </c>
      <c r="G547" s="28" t="s">
        <v>44</v>
      </c>
      <c r="H547" s="28" t="s">
        <v>61</v>
      </c>
      <c r="I547" s="28" t="s">
        <v>53</v>
      </c>
      <c r="J547" s="28">
        <v>518415.0</v>
      </c>
      <c r="K547" s="29" t="s">
        <v>54</v>
      </c>
      <c r="L547" s="26"/>
      <c r="M547" s="25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ht="18.0" customHeight="1">
      <c r="A548" s="27">
        <v>350.0</v>
      </c>
      <c r="B548" s="28" t="s">
        <v>1174</v>
      </c>
      <c r="C548" s="28">
        <v>335002.0</v>
      </c>
      <c r="D548" s="28" t="s">
        <v>1177</v>
      </c>
      <c r="E548" s="28" t="s">
        <v>1178</v>
      </c>
      <c r="F548" s="28">
        <v>1.0</v>
      </c>
      <c r="G548" s="28" t="s">
        <v>44</v>
      </c>
      <c r="H548" s="28" t="s">
        <v>57</v>
      </c>
      <c r="I548" s="28" t="s">
        <v>57</v>
      </c>
      <c r="J548" s="28"/>
      <c r="K548" s="29" t="s">
        <v>58</v>
      </c>
      <c r="L548" s="26"/>
      <c r="M548" s="25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ht="18.0" customHeight="1">
      <c r="A549" s="27">
        <v>350.0</v>
      </c>
      <c r="B549" s="28" t="s">
        <v>1174</v>
      </c>
      <c r="C549" s="28">
        <v>235001.0</v>
      </c>
      <c r="D549" s="28" t="s">
        <v>1179</v>
      </c>
      <c r="E549" s="28" t="s">
        <v>1180</v>
      </c>
      <c r="F549" s="28">
        <v>2.0</v>
      </c>
      <c r="G549" s="28" t="s">
        <v>44</v>
      </c>
      <c r="H549" s="28" t="s">
        <v>57</v>
      </c>
      <c r="I549" s="28" t="s">
        <v>57</v>
      </c>
      <c r="J549" s="28"/>
      <c r="K549" s="29" t="s">
        <v>58</v>
      </c>
      <c r="L549" s="26"/>
      <c r="M549" s="25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ht="18.0" customHeight="1">
      <c r="A550" s="27">
        <v>350.0</v>
      </c>
      <c r="B550" s="28" t="s">
        <v>1174</v>
      </c>
      <c r="C550" s="28">
        <v>235002.0</v>
      </c>
      <c r="D550" s="28" t="s">
        <v>1181</v>
      </c>
      <c r="E550" s="28" t="s">
        <v>1182</v>
      </c>
      <c r="F550" s="28">
        <v>2.0</v>
      </c>
      <c r="G550" s="28" t="s">
        <v>44</v>
      </c>
      <c r="H550" s="28" t="s">
        <v>119</v>
      </c>
      <c r="I550" s="28" t="s">
        <v>53</v>
      </c>
      <c r="J550" s="28">
        <v>518377.0</v>
      </c>
      <c r="K550" s="29" t="s">
        <v>54</v>
      </c>
      <c r="L550" s="26"/>
      <c r="M550" s="25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ht="18.0" customHeight="1">
      <c r="A551" s="27">
        <v>350.0</v>
      </c>
      <c r="B551" s="28" t="s">
        <v>1174</v>
      </c>
      <c r="C551" s="28">
        <v>235003.0</v>
      </c>
      <c r="D551" s="28" t="s">
        <v>1183</v>
      </c>
      <c r="E551" s="28" t="s">
        <v>1184</v>
      </c>
      <c r="F551" s="28">
        <v>2.0</v>
      </c>
      <c r="G551" s="28" t="s">
        <v>44</v>
      </c>
      <c r="H551" s="28" t="s">
        <v>119</v>
      </c>
      <c r="I551" s="28" t="s">
        <v>53</v>
      </c>
      <c r="J551" s="28">
        <v>518378.0</v>
      </c>
      <c r="K551" s="29" t="s">
        <v>58</v>
      </c>
      <c r="L551" s="26"/>
      <c r="M551" s="25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ht="18.0" customHeight="1">
      <c r="A552" s="27">
        <v>350.0</v>
      </c>
      <c r="B552" s="28" t="s">
        <v>1174</v>
      </c>
      <c r="C552" s="28">
        <v>235004.0</v>
      </c>
      <c r="D552" s="28" t="s">
        <v>1185</v>
      </c>
      <c r="E552" s="28" t="s">
        <v>1186</v>
      </c>
      <c r="F552" s="28">
        <v>2.0</v>
      </c>
      <c r="G552" s="28" t="s">
        <v>44</v>
      </c>
      <c r="H552" s="28" t="s">
        <v>119</v>
      </c>
      <c r="I552" s="28" t="s">
        <v>53</v>
      </c>
      <c r="J552" s="28">
        <v>518380.0</v>
      </c>
      <c r="K552" s="29" t="s">
        <v>54</v>
      </c>
      <c r="L552" s="26"/>
      <c r="M552" s="25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ht="18.0" customHeight="1">
      <c r="A553" s="27">
        <v>350.0</v>
      </c>
      <c r="B553" s="28" t="s">
        <v>1174</v>
      </c>
      <c r="C553" s="28">
        <v>135001.0</v>
      </c>
      <c r="D553" s="28" t="s">
        <v>1187</v>
      </c>
      <c r="E553" s="28" t="s">
        <v>1188</v>
      </c>
      <c r="F553" s="28">
        <v>3.0</v>
      </c>
      <c r="G553" s="28" t="s">
        <v>44</v>
      </c>
      <c r="H553" s="28" t="s">
        <v>119</v>
      </c>
      <c r="I553" s="28" t="s">
        <v>53</v>
      </c>
      <c r="J553" s="28">
        <v>518366.0</v>
      </c>
      <c r="K553" s="29" t="s">
        <v>54</v>
      </c>
      <c r="L553" s="26"/>
      <c r="M553" s="25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ht="18.0" customHeight="1">
      <c r="A554" s="27">
        <v>356.0</v>
      </c>
      <c r="B554" s="28" t="s">
        <v>1189</v>
      </c>
      <c r="C554" s="28">
        <v>335601.0</v>
      </c>
      <c r="D554" s="28" t="s">
        <v>1190</v>
      </c>
      <c r="E554" s="28" t="s">
        <v>1191</v>
      </c>
      <c r="F554" s="28">
        <v>1.0</v>
      </c>
      <c r="G554" s="28" t="s">
        <v>41</v>
      </c>
      <c r="H554" s="28" t="s">
        <v>57</v>
      </c>
      <c r="I554" s="28" t="s">
        <v>57</v>
      </c>
      <c r="J554" s="28"/>
      <c r="K554" s="29" t="s">
        <v>58</v>
      </c>
      <c r="L554" s="26"/>
      <c r="M554" s="25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ht="18.0" customHeight="1">
      <c r="A555" s="27">
        <v>356.0</v>
      </c>
      <c r="B555" s="28" t="s">
        <v>1189</v>
      </c>
      <c r="C555" s="28">
        <v>335602.0</v>
      </c>
      <c r="D555" s="28" t="s">
        <v>1192</v>
      </c>
      <c r="E555" s="28" t="s">
        <v>1193</v>
      </c>
      <c r="F555" s="28">
        <v>1.0</v>
      </c>
      <c r="G555" s="28" t="s">
        <v>41</v>
      </c>
      <c r="H555" s="28" t="s">
        <v>52</v>
      </c>
      <c r="I555" s="28" t="s">
        <v>53</v>
      </c>
      <c r="J555" s="28">
        <v>520652.0</v>
      </c>
      <c r="K555" s="29" t="s">
        <v>54</v>
      </c>
      <c r="L555" s="26"/>
      <c r="M555" s="25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ht="18.0" customHeight="1">
      <c r="A556" s="27">
        <v>356.0</v>
      </c>
      <c r="B556" s="28" t="s">
        <v>1189</v>
      </c>
      <c r="C556" s="28">
        <v>335603.0</v>
      </c>
      <c r="D556" s="28" t="s">
        <v>1194</v>
      </c>
      <c r="E556" s="28" t="s">
        <v>1195</v>
      </c>
      <c r="F556" s="28">
        <v>1.0</v>
      </c>
      <c r="G556" s="28" t="s">
        <v>41</v>
      </c>
      <c r="H556" s="28" t="s">
        <v>57</v>
      </c>
      <c r="I556" s="28" t="s">
        <v>57</v>
      </c>
      <c r="J556" s="28"/>
      <c r="K556" s="29" t="s">
        <v>58</v>
      </c>
      <c r="L556" s="26"/>
      <c r="M556" s="25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ht="18.0" customHeight="1">
      <c r="A557" s="27">
        <v>356.0</v>
      </c>
      <c r="B557" s="28" t="s">
        <v>1189</v>
      </c>
      <c r="C557" s="28">
        <v>335604.0</v>
      </c>
      <c r="D557" s="28" t="s">
        <v>1196</v>
      </c>
      <c r="E557" s="28" t="s">
        <v>1197</v>
      </c>
      <c r="F557" s="28">
        <v>1.0</v>
      </c>
      <c r="G557" s="28" t="s">
        <v>41</v>
      </c>
      <c r="H557" s="28" t="s">
        <v>57</v>
      </c>
      <c r="I557" s="28" t="s">
        <v>57</v>
      </c>
      <c r="J557" s="28"/>
      <c r="K557" s="29" t="s">
        <v>58</v>
      </c>
      <c r="L557" s="26"/>
      <c r="M557" s="25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ht="18.0" customHeight="1">
      <c r="A558" s="27">
        <v>356.0</v>
      </c>
      <c r="B558" s="28" t="s">
        <v>1189</v>
      </c>
      <c r="C558" s="28">
        <v>335605.0</v>
      </c>
      <c r="D558" s="28" t="s">
        <v>1198</v>
      </c>
      <c r="E558" s="28" t="s">
        <v>1199</v>
      </c>
      <c r="F558" s="28">
        <v>1.0</v>
      </c>
      <c r="G558" s="28" t="s">
        <v>41</v>
      </c>
      <c r="H558" s="28" t="s">
        <v>57</v>
      </c>
      <c r="I558" s="28" t="s">
        <v>57</v>
      </c>
      <c r="J558" s="28"/>
      <c r="K558" s="29" t="s">
        <v>58</v>
      </c>
      <c r="L558" s="26"/>
      <c r="M558" s="25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ht="18.0" customHeight="1">
      <c r="A559" s="27">
        <v>356.0</v>
      </c>
      <c r="B559" s="28" t="s">
        <v>1189</v>
      </c>
      <c r="C559" s="28">
        <v>335607.0</v>
      </c>
      <c r="D559" s="28" t="s">
        <v>1200</v>
      </c>
      <c r="E559" s="28" t="s">
        <v>1201</v>
      </c>
      <c r="F559" s="28">
        <v>1.0</v>
      </c>
      <c r="G559" s="28" t="s">
        <v>41</v>
      </c>
      <c r="H559" s="28" t="s">
        <v>57</v>
      </c>
      <c r="I559" s="28" t="s">
        <v>57</v>
      </c>
      <c r="J559" s="28"/>
      <c r="K559" s="29" t="s">
        <v>58</v>
      </c>
      <c r="L559" s="26"/>
      <c r="M559" s="25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ht="18.0" customHeight="1">
      <c r="A560" s="27">
        <v>356.0</v>
      </c>
      <c r="B560" s="28" t="s">
        <v>1189</v>
      </c>
      <c r="C560" s="28">
        <v>335608.0</v>
      </c>
      <c r="D560" s="28" t="s">
        <v>1202</v>
      </c>
      <c r="E560" s="28" t="s">
        <v>1203</v>
      </c>
      <c r="F560" s="28">
        <v>1.0</v>
      </c>
      <c r="G560" s="28" t="s">
        <v>41</v>
      </c>
      <c r="H560" s="28" t="s">
        <v>52</v>
      </c>
      <c r="I560" s="28" t="s">
        <v>53</v>
      </c>
      <c r="J560" s="28">
        <v>520653.0</v>
      </c>
      <c r="K560" s="29" t="s">
        <v>54</v>
      </c>
      <c r="L560" s="26"/>
      <c r="M560" s="25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ht="18.0" customHeight="1">
      <c r="A561" s="27">
        <v>356.0</v>
      </c>
      <c r="B561" s="28" t="s">
        <v>1189</v>
      </c>
      <c r="C561" s="28">
        <v>335609.0</v>
      </c>
      <c r="D561" s="28" t="s">
        <v>1204</v>
      </c>
      <c r="E561" s="28" t="s">
        <v>1205</v>
      </c>
      <c r="F561" s="28">
        <v>1.0</v>
      </c>
      <c r="G561" s="28" t="s">
        <v>41</v>
      </c>
      <c r="H561" s="28" t="s">
        <v>57</v>
      </c>
      <c r="I561" s="28" t="s">
        <v>57</v>
      </c>
      <c r="J561" s="28"/>
      <c r="K561" s="29" t="s">
        <v>58</v>
      </c>
      <c r="L561" s="26"/>
      <c r="M561" s="25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ht="18.0" customHeight="1">
      <c r="A562" s="27">
        <v>356.0</v>
      </c>
      <c r="B562" s="28" t="s">
        <v>1189</v>
      </c>
      <c r="C562" s="28">
        <v>335610.0</v>
      </c>
      <c r="D562" s="28" t="s">
        <v>1206</v>
      </c>
      <c r="E562" s="28" t="s">
        <v>1207</v>
      </c>
      <c r="F562" s="28">
        <v>1.0</v>
      </c>
      <c r="G562" s="28" t="s">
        <v>41</v>
      </c>
      <c r="H562" s="28" t="s">
        <v>57</v>
      </c>
      <c r="I562" s="28" t="s">
        <v>57</v>
      </c>
      <c r="J562" s="28"/>
      <c r="K562" s="29" t="s">
        <v>58</v>
      </c>
      <c r="L562" s="26"/>
      <c r="M562" s="25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ht="18.0" customHeight="1">
      <c r="A563" s="27">
        <v>356.0</v>
      </c>
      <c r="B563" s="28" t="s">
        <v>1189</v>
      </c>
      <c r="C563" s="28">
        <v>335611.0</v>
      </c>
      <c r="D563" s="28" t="s">
        <v>1208</v>
      </c>
      <c r="E563" s="28" t="s">
        <v>1209</v>
      </c>
      <c r="F563" s="28">
        <v>1.0</v>
      </c>
      <c r="G563" s="28" t="s">
        <v>41</v>
      </c>
      <c r="H563" s="28" t="s">
        <v>57</v>
      </c>
      <c r="I563" s="28" t="s">
        <v>57</v>
      </c>
      <c r="J563" s="28"/>
      <c r="K563" s="29" t="s">
        <v>58</v>
      </c>
      <c r="L563" s="26"/>
      <c r="M563" s="25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ht="18.0" customHeight="1">
      <c r="A564" s="27">
        <v>356.0</v>
      </c>
      <c r="B564" s="28" t="s">
        <v>1189</v>
      </c>
      <c r="C564" s="28">
        <v>235601.0</v>
      </c>
      <c r="D564" s="28" t="s">
        <v>1210</v>
      </c>
      <c r="E564" s="28" t="s">
        <v>1211</v>
      </c>
      <c r="F564" s="28">
        <v>2.0</v>
      </c>
      <c r="G564" s="28" t="s">
        <v>41</v>
      </c>
      <c r="H564" s="28" t="s">
        <v>57</v>
      </c>
      <c r="I564" s="28" t="s">
        <v>57</v>
      </c>
      <c r="J564" s="28"/>
      <c r="K564" s="29" t="s">
        <v>58</v>
      </c>
      <c r="L564" s="26"/>
      <c r="M564" s="25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ht="18.0" customHeight="1">
      <c r="A565" s="27">
        <v>356.0</v>
      </c>
      <c r="B565" s="28" t="s">
        <v>1189</v>
      </c>
      <c r="C565" s="28">
        <v>235603.0</v>
      </c>
      <c r="D565" s="28" t="s">
        <v>1212</v>
      </c>
      <c r="E565" s="28" t="s">
        <v>1213</v>
      </c>
      <c r="F565" s="28">
        <v>2.0</v>
      </c>
      <c r="G565" s="28" t="s">
        <v>41</v>
      </c>
      <c r="H565" s="28" t="s">
        <v>130</v>
      </c>
      <c r="I565" s="28" t="s">
        <v>53</v>
      </c>
      <c r="J565" s="28">
        <v>520654.0</v>
      </c>
      <c r="K565" s="29" t="s">
        <v>54</v>
      </c>
      <c r="L565" s="26"/>
      <c r="M565" s="25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ht="18.0" customHeight="1">
      <c r="A566" s="27">
        <v>356.0</v>
      </c>
      <c r="B566" s="28" t="s">
        <v>1189</v>
      </c>
      <c r="C566" s="28">
        <v>235604.0</v>
      </c>
      <c r="D566" s="28" t="s">
        <v>1214</v>
      </c>
      <c r="E566" s="28" t="s">
        <v>1215</v>
      </c>
      <c r="F566" s="28">
        <v>2.0</v>
      </c>
      <c r="G566" s="28" t="s">
        <v>41</v>
      </c>
      <c r="H566" s="28" t="s">
        <v>130</v>
      </c>
      <c r="I566" s="28" t="s">
        <v>53</v>
      </c>
      <c r="J566" s="28">
        <v>520655.0</v>
      </c>
      <c r="K566" s="29" t="s">
        <v>54</v>
      </c>
      <c r="L566" s="26"/>
      <c r="M566" s="25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ht="18.0" customHeight="1">
      <c r="A567" s="27">
        <v>356.0</v>
      </c>
      <c r="B567" s="28" t="s">
        <v>1189</v>
      </c>
      <c r="C567" s="28">
        <v>235605.0</v>
      </c>
      <c r="D567" s="28" t="s">
        <v>1216</v>
      </c>
      <c r="E567" s="28" t="s">
        <v>1217</v>
      </c>
      <c r="F567" s="28">
        <v>2.0</v>
      </c>
      <c r="G567" s="28" t="s">
        <v>41</v>
      </c>
      <c r="H567" s="28" t="s">
        <v>57</v>
      </c>
      <c r="I567" s="28" t="s">
        <v>57</v>
      </c>
      <c r="J567" s="28"/>
      <c r="K567" s="29" t="s">
        <v>58</v>
      </c>
      <c r="L567" s="26"/>
      <c r="M567" s="25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ht="18.0" customHeight="1">
      <c r="A568" s="27">
        <v>356.0</v>
      </c>
      <c r="B568" s="28" t="s">
        <v>1189</v>
      </c>
      <c r="C568" s="28">
        <v>235606.0</v>
      </c>
      <c r="D568" s="28" t="s">
        <v>1218</v>
      </c>
      <c r="E568" s="28" t="s">
        <v>1219</v>
      </c>
      <c r="F568" s="28">
        <v>2.0</v>
      </c>
      <c r="G568" s="28" t="s">
        <v>41</v>
      </c>
      <c r="H568" s="28" t="s">
        <v>130</v>
      </c>
      <c r="I568" s="28" t="s">
        <v>53</v>
      </c>
      <c r="J568" s="28">
        <v>520656.0</v>
      </c>
      <c r="K568" s="29" t="s">
        <v>54</v>
      </c>
      <c r="L568" s="26"/>
      <c r="M568" s="25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ht="18.0" customHeight="1">
      <c r="A569" s="27">
        <v>356.0</v>
      </c>
      <c r="B569" s="28" t="s">
        <v>1189</v>
      </c>
      <c r="C569" s="28">
        <v>235608.0</v>
      </c>
      <c r="D569" s="28" t="s">
        <v>1220</v>
      </c>
      <c r="E569" s="28" t="s">
        <v>1221</v>
      </c>
      <c r="F569" s="28">
        <v>2.0</v>
      </c>
      <c r="G569" s="28" t="s">
        <v>41</v>
      </c>
      <c r="H569" s="28" t="s">
        <v>130</v>
      </c>
      <c r="I569" s="28" t="s">
        <v>53</v>
      </c>
      <c r="J569" s="28">
        <v>520657.0</v>
      </c>
      <c r="K569" s="29" t="s">
        <v>54</v>
      </c>
      <c r="L569" s="26"/>
      <c r="M569" s="25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ht="18.0" customHeight="1">
      <c r="A570" s="27">
        <v>356.0</v>
      </c>
      <c r="B570" s="28" t="s">
        <v>1189</v>
      </c>
      <c r="C570" s="28">
        <v>235609.0</v>
      </c>
      <c r="D570" s="28" t="s">
        <v>1222</v>
      </c>
      <c r="E570" s="28" t="s">
        <v>1223</v>
      </c>
      <c r="F570" s="28">
        <v>2.0</v>
      </c>
      <c r="G570" s="28" t="s">
        <v>41</v>
      </c>
      <c r="H570" s="28" t="s">
        <v>57</v>
      </c>
      <c r="I570" s="28" t="s">
        <v>57</v>
      </c>
      <c r="J570" s="28"/>
      <c r="K570" s="29" t="s">
        <v>58</v>
      </c>
      <c r="L570" s="26"/>
      <c r="M570" s="25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ht="18.0" customHeight="1">
      <c r="A571" s="27">
        <v>356.0</v>
      </c>
      <c r="B571" s="28" t="s">
        <v>1189</v>
      </c>
      <c r="C571" s="28">
        <v>235610.0</v>
      </c>
      <c r="D571" s="28" t="s">
        <v>1224</v>
      </c>
      <c r="E571" s="28" t="s">
        <v>1225</v>
      </c>
      <c r="F571" s="28">
        <v>2.0</v>
      </c>
      <c r="G571" s="28" t="s">
        <v>41</v>
      </c>
      <c r="H571" s="28" t="s">
        <v>57</v>
      </c>
      <c r="I571" s="28" t="s">
        <v>57</v>
      </c>
      <c r="J571" s="28"/>
      <c r="K571" s="29" t="s">
        <v>58</v>
      </c>
      <c r="L571" s="26"/>
      <c r="M571" s="25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ht="18.0" customHeight="1">
      <c r="A572" s="27">
        <v>356.0</v>
      </c>
      <c r="B572" s="28" t="s">
        <v>1189</v>
      </c>
      <c r="C572" s="28">
        <v>235611.0</v>
      </c>
      <c r="D572" s="28" t="s">
        <v>1226</v>
      </c>
      <c r="E572" s="28" t="s">
        <v>1227</v>
      </c>
      <c r="F572" s="28">
        <v>2.0</v>
      </c>
      <c r="G572" s="28" t="s">
        <v>41</v>
      </c>
      <c r="H572" s="28" t="s">
        <v>130</v>
      </c>
      <c r="I572" s="28" t="s">
        <v>53</v>
      </c>
      <c r="J572" s="28">
        <v>507510.0</v>
      </c>
      <c r="K572" s="29" t="s">
        <v>54</v>
      </c>
      <c r="L572" s="26"/>
      <c r="M572" s="25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ht="18.0" customHeight="1">
      <c r="A573" s="27">
        <v>356.0</v>
      </c>
      <c r="B573" s="28" t="s">
        <v>1189</v>
      </c>
      <c r="C573" s="28">
        <v>235613.0</v>
      </c>
      <c r="D573" s="28" t="s">
        <v>1228</v>
      </c>
      <c r="E573" s="28" t="s">
        <v>1229</v>
      </c>
      <c r="F573" s="28">
        <v>2.0</v>
      </c>
      <c r="G573" s="28" t="s">
        <v>41</v>
      </c>
      <c r="H573" s="28" t="s">
        <v>130</v>
      </c>
      <c r="I573" s="28" t="s">
        <v>53</v>
      </c>
      <c r="J573" s="28">
        <v>520659.0</v>
      </c>
      <c r="K573" s="29" t="s">
        <v>54</v>
      </c>
      <c r="L573" s="26"/>
      <c r="M573" s="25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ht="18.0" customHeight="1">
      <c r="A574" s="27">
        <v>356.0</v>
      </c>
      <c r="B574" s="28" t="s">
        <v>1189</v>
      </c>
      <c r="C574" s="28">
        <v>135602.0</v>
      </c>
      <c r="D574" s="28" t="s">
        <v>1230</v>
      </c>
      <c r="E574" s="28" t="s">
        <v>1231</v>
      </c>
      <c r="F574" s="28">
        <v>3.0</v>
      </c>
      <c r="G574" s="28" t="s">
        <v>41</v>
      </c>
      <c r="H574" s="28" t="s">
        <v>57</v>
      </c>
      <c r="I574" s="28" t="s">
        <v>57</v>
      </c>
      <c r="J574" s="28"/>
      <c r="K574" s="29" t="s">
        <v>58</v>
      </c>
      <c r="L574" s="26"/>
      <c r="M574" s="25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ht="18.0" customHeight="1">
      <c r="A575" s="27">
        <v>356.0</v>
      </c>
      <c r="B575" s="28" t="s">
        <v>1189</v>
      </c>
      <c r="C575" s="28">
        <v>135603.0</v>
      </c>
      <c r="D575" s="28" t="s">
        <v>1232</v>
      </c>
      <c r="E575" s="28" t="s">
        <v>1233</v>
      </c>
      <c r="F575" s="28">
        <v>3.0</v>
      </c>
      <c r="G575" s="28" t="s">
        <v>41</v>
      </c>
      <c r="H575" s="28" t="s">
        <v>57</v>
      </c>
      <c r="I575" s="28" t="s">
        <v>57</v>
      </c>
      <c r="J575" s="28"/>
      <c r="K575" s="29" t="s">
        <v>58</v>
      </c>
      <c r="L575" s="26"/>
      <c r="M575" s="25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ht="18.0" customHeight="1">
      <c r="A576" s="27">
        <v>356.0</v>
      </c>
      <c r="B576" s="28" t="s">
        <v>1189</v>
      </c>
      <c r="C576" s="28">
        <v>135604.0</v>
      </c>
      <c r="D576" s="28" t="s">
        <v>1234</v>
      </c>
      <c r="E576" s="28" t="s">
        <v>1235</v>
      </c>
      <c r="F576" s="28">
        <v>3.0</v>
      </c>
      <c r="G576" s="28" t="s">
        <v>44</v>
      </c>
      <c r="H576" s="28" t="s">
        <v>57</v>
      </c>
      <c r="I576" s="28" t="s">
        <v>57</v>
      </c>
      <c r="J576" s="28"/>
      <c r="K576" s="29" t="s">
        <v>58</v>
      </c>
      <c r="L576" s="26"/>
      <c r="M576" s="25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ht="18.0" customHeight="1">
      <c r="A577" s="27">
        <v>356.0</v>
      </c>
      <c r="B577" s="28" t="s">
        <v>1189</v>
      </c>
      <c r="C577" s="28">
        <v>135605.0</v>
      </c>
      <c r="D577" s="28" t="s">
        <v>1236</v>
      </c>
      <c r="E577" s="28" t="s">
        <v>1237</v>
      </c>
      <c r="F577" s="28">
        <v>3.0</v>
      </c>
      <c r="G577" s="28" t="s">
        <v>41</v>
      </c>
      <c r="H577" s="28" t="s">
        <v>57</v>
      </c>
      <c r="I577" s="28" t="s">
        <v>57</v>
      </c>
      <c r="J577" s="28"/>
      <c r="K577" s="29" t="s">
        <v>58</v>
      </c>
      <c r="L577" s="26"/>
      <c r="M577" s="25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ht="18.0" customHeight="1">
      <c r="A578" s="27">
        <v>356.0</v>
      </c>
      <c r="B578" s="28" t="s">
        <v>1189</v>
      </c>
      <c r="C578" s="28">
        <v>135606.0</v>
      </c>
      <c r="D578" s="28" t="s">
        <v>1238</v>
      </c>
      <c r="E578" s="28" t="s">
        <v>1239</v>
      </c>
      <c r="F578" s="28">
        <v>3.0</v>
      </c>
      <c r="G578" s="28" t="s">
        <v>41</v>
      </c>
      <c r="H578" s="28" t="s">
        <v>57</v>
      </c>
      <c r="I578" s="28" t="s">
        <v>57</v>
      </c>
      <c r="J578" s="28"/>
      <c r="K578" s="29" t="s">
        <v>58</v>
      </c>
      <c r="L578" s="26"/>
      <c r="M578" s="25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ht="18.0" customHeight="1">
      <c r="A579" s="27">
        <v>356.0</v>
      </c>
      <c r="B579" s="28" t="s">
        <v>1189</v>
      </c>
      <c r="C579" s="28">
        <v>135609.0</v>
      </c>
      <c r="D579" s="28" t="s">
        <v>1240</v>
      </c>
      <c r="E579" s="28" t="s">
        <v>1241</v>
      </c>
      <c r="F579" s="28">
        <v>3.0</v>
      </c>
      <c r="G579" s="28" t="s">
        <v>41</v>
      </c>
      <c r="H579" s="28" t="s">
        <v>57</v>
      </c>
      <c r="I579" s="28" t="s">
        <v>57</v>
      </c>
      <c r="J579" s="28"/>
      <c r="K579" s="29" t="s">
        <v>58</v>
      </c>
      <c r="L579" s="26"/>
      <c r="M579" s="25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ht="18.0" customHeight="1">
      <c r="A580" s="27">
        <v>356.0</v>
      </c>
      <c r="B580" s="28" t="s">
        <v>1189</v>
      </c>
      <c r="C580" s="28">
        <v>135611.0</v>
      </c>
      <c r="D580" s="28" t="s">
        <v>1242</v>
      </c>
      <c r="E580" s="28" t="s">
        <v>1243</v>
      </c>
      <c r="F580" s="28">
        <v>3.0</v>
      </c>
      <c r="G580" s="28" t="s">
        <v>41</v>
      </c>
      <c r="H580" s="28" t="s">
        <v>57</v>
      </c>
      <c r="I580" s="28" t="s">
        <v>57</v>
      </c>
      <c r="J580" s="28"/>
      <c r="K580" s="29" t="s">
        <v>58</v>
      </c>
      <c r="L580" s="26"/>
      <c r="M580" s="25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ht="18.0" customHeight="1">
      <c r="A581" s="27">
        <v>356.0</v>
      </c>
      <c r="B581" s="28" t="s">
        <v>1189</v>
      </c>
      <c r="C581" s="28">
        <v>135612.0</v>
      </c>
      <c r="D581" s="28" t="s">
        <v>1244</v>
      </c>
      <c r="E581" s="28" t="s">
        <v>1245</v>
      </c>
      <c r="F581" s="28">
        <v>3.0</v>
      </c>
      <c r="G581" s="28" t="s">
        <v>41</v>
      </c>
      <c r="H581" s="28" t="s">
        <v>130</v>
      </c>
      <c r="I581" s="28" t="s">
        <v>53</v>
      </c>
      <c r="J581" s="28">
        <v>520660.0</v>
      </c>
      <c r="K581" s="29" t="s">
        <v>54</v>
      </c>
      <c r="L581" s="26"/>
      <c r="M581" s="25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ht="18.0" customHeight="1">
      <c r="A582" s="27">
        <v>356.0</v>
      </c>
      <c r="B582" s="28" t="s">
        <v>1189</v>
      </c>
      <c r="C582" s="28">
        <v>135613.0</v>
      </c>
      <c r="D582" s="28" t="s">
        <v>1246</v>
      </c>
      <c r="E582" s="28" t="s">
        <v>1247</v>
      </c>
      <c r="F582" s="28">
        <v>3.0</v>
      </c>
      <c r="G582" s="28" t="s">
        <v>41</v>
      </c>
      <c r="H582" s="28" t="s">
        <v>57</v>
      </c>
      <c r="I582" s="28" t="s">
        <v>57</v>
      </c>
      <c r="J582" s="28"/>
      <c r="K582" s="29" t="s">
        <v>58</v>
      </c>
      <c r="L582" s="26"/>
      <c r="M582" s="25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ht="18.0" customHeight="1">
      <c r="A583" s="27">
        <v>356.0</v>
      </c>
      <c r="B583" s="28" t="s">
        <v>1189</v>
      </c>
      <c r="C583" s="28">
        <v>335606.0</v>
      </c>
      <c r="D583" s="28" t="s">
        <v>1248</v>
      </c>
      <c r="E583" s="28" t="s">
        <v>1249</v>
      </c>
      <c r="F583" s="28">
        <v>4.0</v>
      </c>
      <c r="G583" s="28" t="s">
        <v>44</v>
      </c>
      <c r="H583" s="28" t="s">
        <v>57</v>
      </c>
      <c r="I583" s="28" t="s">
        <v>57</v>
      </c>
      <c r="J583" s="28"/>
      <c r="K583" s="29" t="s">
        <v>58</v>
      </c>
      <c r="L583" s="26"/>
      <c r="M583" s="25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ht="18.0" customHeight="1">
      <c r="A584" s="27">
        <v>364.0</v>
      </c>
      <c r="B584" s="28" t="s">
        <v>1250</v>
      </c>
      <c r="C584" s="28">
        <v>336401.0</v>
      </c>
      <c r="D584" s="28" t="s">
        <v>1251</v>
      </c>
      <c r="E584" s="28" t="s">
        <v>1252</v>
      </c>
      <c r="F584" s="28">
        <v>1.0</v>
      </c>
      <c r="G584" s="28" t="s">
        <v>44</v>
      </c>
      <c r="H584" s="28" t="s">
        <v>61</v>
      </c>
      <c r="I584" s="28" t="s">
        <v>53</v>
      </c>
      <c r="J584" s="28">
        <v>510611.0</v>
      </c>
      <c r="K584" s="29" t="s">
        <v>58</v>
      </c>
      <c r="L584" s="26"/>
      <c r="M584" s="25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ht="18.0" customHeight="1">
      <c r="A585" s="27">
        <v>364.0</v>
      </c>
      <c r="B585" s="28" t="s">
        <v>1250</v>
      </c>
      <c r="C585" s="28">
        <v>336402.0</v>
      </c>
      <c r="D585" s="28" t="s">
        <v>1253</v>
      </c>
      <c r="E585" s="28" t="s">
        <v>1254</v>
      </c>
      <c r="F585" s="28">
        <v>1.0</v>
      </c>
      <c r="G585" s="28" t="s">
        <v>44</v>
      </c>
      <c r="H585" s="28" t="s">
        <v>57</v>
      </c>
      <c r="I585" s="28" t="s">
        <v>57</v>
      </c>
      <c r="J585" s="28"/>
      <c r="K585" s="29" t="s">
        <v>58</v>
      </c>
      <c r="L585" s="26"/>
      <c r="M585" s="25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ht="18.0" customHeight="1">
      <c r="A586" s="27">
        <v>364.0</v>
      </c>
      <c r="B586" s="28" t="s">
        <v>1250</v>
      </c>
      <c r="C586" s="28">
        <v>336403.0</v>
      </c>
      <c r="D586" s="28" t="s">
        <v>1255</v>
      </c>
      <c r="E586" s="28" t="s">
        <v>1256</v>
      </c>
      <c r="F586" s="28">
        <v>1.0</v>
      </c>
      <c r="G586" s="28" t="s">
        <v>44</v>
      </c>
      <c r="H586" s="28" t="s">
        <v>57</v>
      </c>
      <c r="I586" s="28" t="s">
        <v>57</v>
      </c>
      <c r="J586" s="28"/>
      <c r="K586" s="29" t="s">
        <v>58</v>
      </c>
      <c r="L586" s="26"/>
      <c r="M586" s="25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ht="18.0" customHeight="1">
      <c r="A587" s="27">
        <v>364.0</v>
      </c>
      <c r="B587" s="28" t="s">
        <v>1250</v>
      </c>
      <c r="C587" s="28">
        <v>336404.0</v>
      </c>
      <c r="D587" s="28" t="s">
        <v>1257</v>
      </c>
      <c r="E587" s="28" t="s">
        <v>1258</v>
      </c>
      <c r="F587" s="28">
        <v>1.0</v>
      </c>
      <c r="G587" s="28" t="s">
        <v>44</v>
      </c>
      <c r="H587" s="28" t="s">
        <v>57</v>
      </c>
      <c r="I587" s="28" t="s">
        <v>57</v>
      </c>
      <c r="J587" s="28"/>
      <c r="K587" s="29" t="s">
        <v>58</v>
      </c>
      <c r="L587" s="26"/>
      <c r="M587" s="25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ht="18.0" customHeight="1">
      <c r="A588" s="27">
        <v>364.0</v>
      </c>
      <c r="B588" s="28" t="s">
        <v>1250</v>
      </c>
      <c r="C588" s="28">
        <v>336405.0</v>
      </c>
      <c r="D588" s="28" t="s">
        <v>1259</v>
      </c>
      <c r="E588" s="28" t="s">
        <v>1260</v>
      </c>
      <c r="F588" s="28">
        <v>1.0</v>
      </c>
      <c r="G588" s="28" t="s">
        <v>44</v>
      </c>
      <c r="H588" s="28" t="s">
        <v>57</v>
      </c>
      <c r="I588" s="28" t="s">
        <v>57</v>
      </c>
      <c r="J588" s="28"/>
      <c r="K588" s="29" t="s">
        <v>58</v>
      </c>
      <c r="L588" s="26"/>
      <c r="M588" s="25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ht="18.0" customHeight="1">
      <c r="A589" s="27">
        <v>364.0</v>
      </c>
      <c r="B589" s="28" t="s">
        <v>1250</v>
      </c>
      <c r="C589" s="28">
        <v>336406.0</v>
      </c>
      <c r="D589" s="28" t="s">
        <v>1261</v>
      </c>
      <c r="E589" s="28" t="s">
        <v>1262</v>
      </c>
      <c r="F589" s="28">
        <v>1.0</v>
      </c>
      <c r="G589" s="28" t="s">
        <v>44</v>
      </c>
      <c r="H589" s="28" t="s">
        <v>57</v>
      </c>
      <c r="I589" s="28" t="s">
        <v>57</v>
      </c>
      <c r="J589" s="28"/>
      <c r="K589" s="29" t="s">
        <v>58</v>
      </c>
      <c r="L589" s="26"/>
      <c r="M589" s="25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ht="18.0" customHeight="1">
      <c r="A590" s="27">
        <v>364.0</v>
      </c>
      <c r="B590" s="28" t="s">
        <v>1250</v>
      </c>
      <c r="C590" s="28">
        <v>336407.0</v>
      </c>
      <c r="D590" s="28" t="s">
        <v>1263</v>
      </c>
      <c r="E590" s="28" t="s">
        <v>1264</v>
      </c>
      <c r="F590" s="28">
        <v>1.0</v>
      </c>
      <c r="G590" s="28" t="s">
        <v>44</v>
      </c>
      <c r="H590" s="28" t="s">
        <v>61</v>
      </c>
      <c r="I590" s="28" t="s">
        <v>53</v>
      </c>
      <c r="J590" s="28">
        <v>507529.0</v>
      </c>
      <c r="K590" s="29" t="s">
        <v>54</v>
      </c>
      <c r="L590" s="26"/>
      <c r="M590" s="25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ht="18.0" customHeight="1">
      <c r="A591" s="27">
        <v>364.0</v>
      </c>
      <c r="B591" s="28" t="s">
        <v>1250</v>
      </c>
      <c r="C591" s="28">
        <v>336408.0</v>
      </c>
      <c r="D591" s="28" t="s">
        <v>1265</v>
      </c>
      <c r="E591" s="28" t="s">
        <v>1266</v>
      </c>
      <c r="F591" s="28">
        <v>1.0</v>
      </c>
      <c r="G591" s="28" t="s">
        <v>44</v>
      </c>
      <c r="H591" s="28" t="s">
        <v>57</v>
      </c>
      <c r="I591" s="28" t="s">
        <v>57</v>
      </c>
      <c r="J591" s="28"/>
      <c r="K591" s="29" t="s">
        <v>58</v>
      </c>
      <c r="L591" s="26"/>
      <c r="M591" s="25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ht="18.0" customHeight="1">
      <c r="A592" s="27">
        <v>364.0</v>
      </c>
      <c r="B592" s="28" t="s">
        <v>1250</v>
      </c>
      <c r="C592" s="28">
        <v>336409.0</v>
      </c>
      <c r="D592" s="28" t="s">
        <v>1267</v>
      </c>
      <c r="E592" s="28" t="s">
        <v>1268</v>
      </c>
      <c r="F592" s="28">
        <v>1.0</v>
      </c>
      <c r="G592" s="28" t="s">
        <v>44</v>
      </c>
      <c r="H592" s="28" t="s">
        <v>57</v>
      </c>
      <c r="I592" s="28" t="s">
        <v>57</v>
      </c>
      <c r="J592" s="28"/>
      <c r="K592" s="29" t="s">
        <v>58</v>
      </c>
      <c r="L592" s="26"/>
      <c r="M592" s="25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ht="18.0" customHeight="1">
      <c r="A593" s="27">
        <v>364.0</v>
      </c>
      <c r="B593" s="28" t="s">
        <v>1250</v>
      </c>
      <c r="C593" s="28">
        <v>336410.0</v>
      </c>
      <c r="D593" s="28" t="s">
        <v>1269</v>
      </c>
      <c r="E593" s="28" t="s">
        <v>1270</v>
      </c>
      <c r="F593" s="28">
        <v>1.0</v>
      </c>
      <c r="G593" s="28" t="s">
        <v>44</v>
      </c>
      <c r="H593" s="28" t="s">
        <v>57</v>
      </c>
      <c r="I593" s="28" t="s">
        <v>57</v>
      </c>
      <c r="J593" s="28"/>
      <c r="K593" s="29" t="s">
        <v>58</v>
      </c>
      <c r="L593" s="26"/>
      <c r="M593" s="25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ht="18.0" customHeight="1">
      <c r="A594" s="27">
        <v>364.0</v>
      </c>
      <c r="B594" s="28" t="s">
        <v>1250</v>
      </c>
      <c r="C594" s="28">
        <v>336411.0</v>
      </c>
      <c r="D594" s="28" t="s">
        <v>1271</v>
      </c>
      <c r="E594" s="28" t="s">
        <v>1272</v>
      </c>
      <c r="F594" s="28">
        <v>1.0</v>
      </c>
      <c r="G594" s="28" t="s">
        <v>44</v>
      </c>
      <c r="H594" s="28" t="s">
        <v>57</v>
      </c>
      <c r="I594" s="28" t="s">
        <v>57</v>
      </c>
      <c r="J594" s="28"/>
      <c r="K594" s="29" t="s">
        <v>58</v>
      </c>
      <c r="L594" s="26"/>
      <c r="M594" s="25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ht="18.0" customHeight="1">
      <c r="A595" s="27">
        <v>364.0</v>
      </c>
      <c r="B595" s="28" t="s">
        <v>1250</v>
      </c>
      <c r="C595" s="28">
        <v>336412.0</v>
      </c>
      <c r="D595" s="28" t="s">
        <v>1273</v>
      </c>
      <c r="E595" s="28" t="s">
        <v>1274</v>
      </c>
      <c r="F595" s="28">
        <v>1.0</v>
      </c>
      <c r="G595" s="28" t="s">
        <v>44</v>
      </c>
      <c r="H595" s="28" t="s">
        <v>57</v>
      </c>
      <c r="I595" s="28" t="s">
        <v>57</v>
      </c>
      <c r="J595" s="28"/>
      <c r="K595" s="29" t="s">
        <v>58</v>
      </c>
      <c r="L595" s="26"/>
      <c r="M595" s="25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ht="18.0" customHeight="1">
      <c r="A596" s="27">
        <v>364.0</v>
      </c>
      <c r="B596" s="28" t="s">
        <v>1250</v>
      </c>
      <c r="C596" s="28">
        <v>336413.0</v>
      </c>
      <c r="D596" s="28" t="s">
        <v>1275</v>
      </c>
      <c r="E596" s="28" t="s">
        <v>1276</v>
      </c>
      <c r="F596" s="28">
        <v>1.0</v>
      </c>
      <c r="G596" s="28" t="s">
        <v>44</v>
      </c>
      <c r="H596" s="28" t="s">
        <v>57</v>
      </c>
      <c r="I596" s="28" t="s">
        <v>57</v>
      </c>
      <c r="J596" s="28"/>
      <c r="K596" s="29" t="s">
        <v>58</v>
      </c>
      <c r="L596" s="26"/>
      <c r="M596" s="25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ht="18.0" customHeight="1">
      <c r="A597" s="27">
        <v>364.0</v>
      </c>
      <c r="B597" s="28" t="s">
        <v>1250</v>
      </c>
      <c r="C597" s="28">
        <v>336414.0</v>
      </c>
      <c r="D597" s="28" t="s">
        <v>1277</v>
      </c>
      <c r="E597" s="28" t="s">
        <v>1278</v>
      </c>
      <c r="F597" s="28">
        <v>1.0</v>
      </c>
      <c r="G597" s="28" t="s">
        <v>44</v>
      </c>
      <c r="H597" s="28" t="s">
        <v>61</v>
      </c>
      <c r="I597" s="28" t="s">
        <v>53</v>
      </c>
      <c r="J597" s="28">
        <v>510614.0</v>
      </c>
      <c r="K597" s="29" t="s">
        <v>54</v>
      </c>
      <c r="L597" s="26"/>
      <c r="M597" s="25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ht="18.0" customHeight="1">
      <c r="A598" s="27">
        <v>364.0</v>
      </c>
      <c r="B598" s="28" t="s">
        <v>1250</v>
      </c>
      <c r="C598" s="28">
        <v>236401.0</v>
      </c>
      <c r="D598" s="28" t="s">
        <v>1279</v>
      </c>
      <c r="E598" s="28" t="s">
        <v>1280</v>
      </c>
      <c r="F598" s="28">
        <v>2.0</v>
      </c>
      <c r="G598" s="28" t="s">
        <v>44</v>
      </c>
      <c r="H598" s="28" t="s">
        <v>57</v>
      </c>
      <c r="I598" s="28" t="s">
        <v>57</v>
      </c>
      <c r="J598" s="28"/>
      <c r="K598" s="29" t="s">
        <v>58</v>
      </c>
      <c r="L598" s="26"/>
      <c r="M598" s="25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ht="18.0" customHeight="1">
      <c r="A599" s="27">
        <v>364.0</v>
      </c>
      <c r="B599" s="28" t="s">
        <v>1250</v>
      </c>
      <c r="C599" s="28">
        <v>236402.0</v>
      </c>
      <c r="D599" s="28" t="s">
        <v>1281</v>
      </c>
      <c r="E599" s="28" t="s">
        <v>1282</v>
      </c>
      <c r="F599" s="28">
        <v>2.0</v>
      </c>
      <c r="G599" s="28" t="s">
        <v>44</v>
      </c>
      <c r="H599" s="28" t="s">
        <v>57</v>
      </c>
      <c r="I599" s="28" t="s">
        <v>57</v>
      </c>
      <c r="J599" s="28"/>
      <c r="K599" s="29" t="s">
        <v>58</v>
      </c>
      <c r="L599" s="26"/>
      <c r="M599" s="25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ht="18.0" customHeight="1">
      <c r="A600" s="27">
        <v>364.0</v>
      </c>
      <c r="B600" s="28" t="s">
        <v>1250</v>
      </c>
      <c r="C600" s="28">
        <v>236404.0</v>
      </c>
      <c r="D600" s="28" t="s">
        <v>1283</v>
      </c>
      <c r="E600" s="28" t="s">
        <v>1284</v>
      </c>
      <c r="F600" s="28">
        <v>2.0</v>
      </c>
      <c r="G600" s="28" t="s">
        <v>44</v>
      </c>
      <c r="H600" s="28" t="s">
        <v>57</v>
      </c>
      <c r="I600" s="28" t="s">
        <v>57</v>
      </c>
      <c r="J600" s="28"/>
      <c r="K600" s="29" t="s">
        <v>58</v>
      </c>
      <c r="L600" s="26"/>
      <c r="M600" s="25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ht="18.0" customHeight="1">
      <c r="A601" s="27">
        <v>364.0</v>
      </c>
      <c r="B601" s="28" t="s">
        <v>1250</v>
      </c>
      <c r="C601" s="28">
        <v>236406.0</v>
      </c>
      <c r="D601" s="28" t="s">
        <v>1285</v>
      </c>
      <c r="E601" s="28" t="s">
        <v>1286</v>
      </c>
      <c r="F601" s="28">
        <v>2.0</v>
      </c>
      <c r="G601" s="28" t="s">
        <v>44</v>
      </c>
      <c r="H601" s="28" t="s">
        <v>57</v>
      </c>
      <c r="I601" s="28" t="s">
        <v>57</v>
      </c>
      <c r="J601" s="28"/>
      <c r="K601" s="29" t="s">
        <v>58</v>
      </c>
      <c r="L601" s="26"/>
      <c r="M601" s="25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ht="18.0" customHeight="1">
      <c r="A602" s="27">
        <v>364.0</v>
      </c>
      <c r="B602" s="28" t="s">
        <v>1250</v>
      </c>
      <c r="C602" s="28">
        <v>236407.0</v>
      </c>
      <c r="D602" s="28" t="s">
        <v>1287</v>
      </c>
      <c r="E602" s="28" t="s">
        <v>1288</v>
      </c>
      <c r="F602" s="28">
        <v>2.0</v>
      </c>
      <c r="G602" s="28" t="s">
        <v>44</v>
      </c>
      <c r="H602" s="28" t="s">
        <v>57</v>
      </c>
      <c r="I602" s="28" t="s">
        <v>57</v>
      </c>
      <c r="J602" s="28"/>
      <c r="K602" s="29" t="s">
        <v>58</v>
      </c>
      <c r="L602" s="26"/>
      <c r="M602" s="25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ht="18.0" customHeight="1">
      <c r="A603" s="27">
        <v>364.0</v>
      </c>
      <c r="B603" s="28" t="s">
        <v>1250</v>
      </c>
      <c r="C603" s="28">
        <v>136402.0</v>
      </c>
      <c r="D603" s="28" t="s">
        <v>1289</v>
      </c>
      <c r="E603" s="28" t="s">
        <v>1290</v>
      </c>
      <c r="F603" s="28">
        <v>3.0</v>
      </c>
      <c r="G603" s="28" t="s">
        <v>44</v>
      </c>
      <c r="H603" s="28" t="s">
        <v>57</v>
      </c>
      <c r="I603" s="28" t="s">
        <v>57</v>
      </c>
      <c r="J603" s="28"/>
      <c r="K603" s="29" t="s">
        <v>58</v>
      </c>
      <c r="L603" s="26"/>
      <c r="M603" s="25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ht="18.0" customHeight="1">
      <c r="A604" s="27">
        <v>364.0</v>
      </c>
      <c r="B604" s="28" t="s">
        <v>1250</v>
      </c>
      <c r="C604" s="28">
        <v>136403.0</v>
      </c>
      <c r="D604" s="28" t="s">
        <v>1291</v>
      </c>
      <c r="E604" s="28" t="s">
        <v>1292</v>
      </c>
      <c r="F604" s="28">
        <v>3.0</v>
      </c>
      <c r="G604" s="28" t="s">
        <v>44</v>
      </c>
      <c r="H604" s="28" t="s">
        <v>57</v>
      </c>
      <c r="I604" s="28" t="s">
        <v>57</v>
      </c>
      <c r="J604" s="28"/>
      <c r="K604" s="29" t="s">
        <v>58</v>
      </c>
      <c r="L604" s="26"/>
      <c r="M604" s="25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ht="18.0" customHeight="1">
      <c r="A605" s="27">
        <v>364.0</v>
      </c>
      <c r="B605" s="28" t="s">
        <v>1250</v>
      </c>
      <c r="C605" s="28">
        <v>136408.0</v>
      </c>
      <c r="D605" s="28" t="s">
        <v>1293</v>
      </c>
      <c r="E605" s="28" t="s">
        <v>1294</v>
      </c>
      <c r="F605" s="28">
        <v>3.0</v>
      </c>
      <c r="G605" s="28" t="s">
        <v>44</v>
      </c>
      <c r="H605" s="28" t="s">
        <v>57</v>
      </c>
      <c r="I605" s="28" t="s">
        <v>57</v>
      </c>
      <c r="J605" s="28"/>
      <c r="K605" s="29" t="s">
        <v>58</v>
      </c>
      <c r="L605" s="26"/>
      <c r="M605" s="25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ht="18.0" customHeight="1">
      <c r="A606" s="27">
        <v>364.0</v>
      </c>
      <c r="B606" s="28" t="s">
        <v>1250</v>
      </c>
      <c r="C606" s="28">
        <v>136411.0</v>
      </c>
      <c r="D606" s="28" t="s">
        <v>1295</v>
      </c>
      <c r="E606" s="28" t="s">
        <v>1296</v>
      </c>
      <c r="F606" s="28">
        <v>3.0</v>
      </c>
      <c r="G606" s="28" t="s">
        <v>44</v>
      </c>
      <c r="H606" s="28" t="s">
        <v>119</v>
      </c>
      <c r="I606" s="28" t="s">
        <v>53</v>
      </c>
      <c r="J606" s="28">
        <v>519522.0</v>
      </c>
      <c r="K606" s="29" t="s">
        <v>58</v>
      </c>
      <c r="L606" s="26"/>
      <c r="M606" s="25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ht="18.0" customHeight="1">
      <c r="A607" s="27">
        <v>364.0</v>
      </c>
      <c r="B607" s="28" t="s">
        <v>1250</v>
      </c>
      <c r="C607" s="28">
        <v>136412.0</v>
      </c>
      <c r="D607" s="28" t="s">
        <v>1297</v>
      </c>
      <c r="E607" s="28" t="s">
        <v>1298</v>
      </c>
      <c r="F607" s="28">
        <v>3.0</v>
      </c>
      <c r="G607" s="28" t="s">
        <v>44</v>
      </c>
      <c r="H607" s="28" t="s">
        <v>57</v>
      </c>
      <c r="I607" s="28" t="s">
        <v>57</v>
      </c>
      <c r="J607" s="28"/>
      <c r="K607" s="29" t="s">
        <v>58</v>
      </c>
      <c r="L607" s="26"/>
      <c r="M607" s="25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ht="18.0" customHeight="1">
      <c r="A608" s="27">
        <v>364.0</v>
      </c>
      <c r="B608" s="28" t="s">
        <v>1250</v>
      </c>
      <c r="C608" s="28">
        <v>136414.0</v>
      </c>
      <c r="D608" s="28" t="s">
        <v>1299</v>
      </c>
      <c r="E608" s="28" t="s">
        <v>1300</v>
      </c>
      <c r="F608" s="28">
        <v>3.0</v>
      </c>
      <c r="G608" s="28" t="s">
        <v>44</v>
      </c>
      <c r="H608" s="28" t="s">
        <v>119</v>
      </c>
      <c r="I608" s="28" t="s">
        <v>53</v>
      </c>
      <c r="J608" s="28">
        <v>519532.0</v>
      </c>
      <c r="K608" s="29" t="s">
        <v>54</v>
      </c>
      <c r="L608" s="26"/>
      <c r="M608" s="25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ht="18.0" customHeight="1">
      <c r="A609" s="27">
        <v>365.0</v>
      </c>
      <c r="B609" s="28" t="s">
        <v>1301</v>
      </c>
      <c r="C609" s="28">
        <v>336501.0</v>
      </c>
      <c r="D609" s="28" t="s">
        <v>1302</v>
      </c>
      <c r="E609" s="28" t="s">
        <v>1303</v>
      </c>
      <c r="F609" s="28">
        <v>1.0</v>
      </c>
      <c r="G609" s="28" t="s">
        <v>41</v>
      </c>
      <c r="H609" s="28" t="s">
        <v>52</v>
      </c>
      <c r="I609" s="28" t="s">
        <v>53</v>
      </c>
      <c r="J609" s="28"/>
      <c r="K609" s="29" t="s">
        <v>54</v>
      </c>
      <c r="L609" s="26"/>
      <c r="M609" s="25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ht="18.0" customHeight="1">
      <c r="A610" s="27">
        <v>365.0</v>
      </c>
      <c r="B610" s="28" t="s">
        <v>1301</v>
      </c>
      <c r="C610" s="28">
        <v>336502.0</v>
      </c>
      <c r="D610" s="28" t="s">
        <v>1304</v>
      </c>
      <c r="E610" s="28" t="s">
        <v>1305</v>
      </c>
      <c r="F610" s="28">
        <v>1.0</v>
      </c>
      <c r="G610" s="28" t="s">
        <v>41</v>
      </c>
      <c r="H610" s="28" t="s">
        <v>52</v>
      </c>
      <c r="I610" s="28" t="s">
        <v>53</v>
      </c>
      <c r="J610" s="28"/>
      <c r="K610" s="29" t="s">
        <v>54</v>
      </c>
      <c r="L610" s="26"/>
      <c r="M610" s="25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ht="18.0" customHeight="1">
      <c r="A611" s="27">
        <v>365.0</v>
      </c>
      <c r="B611" s="28" t="s">
        <v>1301</v>
      </c>
      <c r="C611" s="28">
        <v>336503.0</v>
      </c>
      <c r="D611" s="28" t="s">
        <v>1306</v>
      </c>
      <c r="E611" s="28" t="s">
        <v>1307</v>
      </c>
      <c r="F611" s="28">
        <v>1.0</v>
      </c>
      <c r="G611" s="28" t="s">
        <v>41</v>
      </c>
      <c r="H611" s="28" t="s">
        <v>52</v>
      </c>
      <c r="I611" s="28" t="s">
        <v>53</v>
      </c>
      <c r="J611" s="28"/>
      <c r="K611" s="29" t="s">
        <v>54</v>
      </c>
      <c r="L611" s="26"/>
      <c r="M611" s="25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ht="18.0" customHeight="1">
      <c r="A612" s="27">
        <v>365.0</v>
      </c>
      <c r="B612" s="28" t="s">
        <v>1301</v>
      </c>
      <c r="C612" s="28">
        <v>336504.0</v>
      </c>
      <c r="D612" s="28" t="s">
        <v>1308</v>
      </c>
      <c r="E612" s="28" t="s">
        <v>1309</v>
      </c>
      <c r="F612" s="28">
        <v>1.0</v>
      </c>
      <c r="G612" s="28" t="s">
        <v>41</v>
      </c>
      <c r="H612" s="28" t="s">
        <v>52</v>
      </c>
      <c r="I612" s="28" t="s">
        <v>53</v>
      </c>
      <c r="J612" s="28"/>
      <c r="K612" s="29" t="s">
        <v>54</v>
      </c>
      <c r="L612" s="26"/>
      <c r="M612" s="25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ht="18.0" customHeight="1">
      <c r="A613" s="27">
        <v>365.0</v>
      </c>
      <c r="B613" s="28" t="s">
        <v>1301</v>
      </c>
      <c r="C613" s="28">
        <v>336508.0</v>
      </c>
      <c r="D613" s="28" t="s">
        <v>1310</v>
      </c>
      <c r="E613" s="28" t="s">
        <v>1311</v>
      </c>
      <c r="F613" s="28">
        <v>1.0</v>
      </c>
      <c r="G613" s="28" t="s">
        <v>41</v>
      </c>
      <c r="H613" s="28" t="s">
        <v>52</v>
      </c>
      <c r="I613" s="28" t="s">
        <v>53</v>
      </c>
      <c r="J613" s="28"/>
      <c r="K613" s="29" t="s">
        <v>54</v>
      </c>
      <c r="L613" s="26"/>
      <c r="M613" s="25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ht="18.0" customHeight="1">
      <c r="A614" s="27">
        <v>365.0</v>
      </c>
      <c r="B614" s="28" t="s">
        <v>1301</v>
      </c>
      <c r="C614" s="28">
        <v>336511.0</v>
      </c>
      <c r="D614" s="28" t="s">
        <v>1312</v>
      </c>
      <c r="E614" s="28" t="s">
        <v>1313</v>
      </c>
      <c r="F614" s="28">
        <v>1.0</v>
      </c>
      <c r="G614" s="28" t="s">
        <v>41</v>
      </c>
      <c r="H614" s="28" t="s">
        <v>52</v>
      </c>
      <c r="I614" s="28" t="s">
        <v>53</v>
      </c>
      <c r="J614" s="28"/>
      <c r="K614" s="29" t="s">
        <v>54</v>
      </c>
      <c r="L614" s="26"/>
      <c r="M614" s="25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ht="18.0" customHeight="1">
      <c r="A615" s="27">
        <v>365.0</v>
      </c>
      <c r="B615" s="28" t="s">
        <v>1301</v>
      </c>
      <c r="C615" s="28">
        <v>336513.0</v>
      </c>
      <c r="D615" s="28" t="s">
        <v>1314</v>
      </c>
      <c r="E615" s="28" t="s">
        <v>1315</v>
      </c>
      <c r="F615" s="28">
        <v>1.0</v>
      </c>
      <c r="G615" s="28" t="s">
        <v>41</v>
      </c>
      <c r="H615" s="28" t="s">
        <v>52</v>
      </c>
      <c r="I615" s="28" t="s">
        <v>53</v>
      </c>
      <c r="J615" s="28"/>
      <c r="K615" s="29" t="s">
        <v>54</v>
      </c>
      <c r="L615" s="26"/>
      <c r="M615" s="25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ht="18.0" customHeight="1">
      <c r="A616" s="27">
        <v>369.0</v>
      </c>
      <c r="B616" s="28" t="s">
        <v>1316</v>
      </c>
      <c r="C616" s="28">
        <v>236902.0</v>
      </c>
      <c r="D616" s="28" t="s">
        <v>1317</v>
      </c>
      <c r="E616" s="28" t="s">
        <v>1318</v>
      </c>
      <c r="F616" s="28">
        <v>2.0</v>
      </c>
      <c r="G616" s="28" t="s">
        <v>44</v>
      </c>
      <c r="H616" s="28" t="s">
        <v>119</v>
      </c>
      <c r="I616" s="28" t="s">
        <v>53</v>
      </c>
      <c r="J616" s="28">
        <v>265860.0</v>
      </c>
      <c r="K616" s="29" t="s">
        <v>54</v>
      </c>
      <c r="L616" s="26"/>
      <c r="M616" s="25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ht="18.0" customHeight="1">
      <c r="A617" s="27">
        <v>369.0</v>
      </c>
      <c r="B617" s="28" t="s">
        <v>1316</v>
      </c>
      <c r="C617" s="28">
        <v>136901.0</v>
      </c>
      <c r="D617" s="28" t="s">
        <v>1319</v>
      </c>
      <c r="E617" s="28" t="s">
        <v>1320</v>
      </c>
      <c r="F617" s="28">
        <v>3.0</v>
      </c>
      <c r="G617" s="28" t="s">
        <v>44</v>
      </c>
      <c r="H617" s="28" t="s">
        <v>119</v>
      </c>
      <c r="I617" s="28" t="s">
        <v>53</v>
      </c>
      <c r="J617" s="28">
        <v>257870.0</v>
      </c>
      <c r="K617" s="29" t="s">
        <v>54</v>
      </c>
      <c r="L617" s="26"/>
      <c r="M617" s="25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ht="18.0" customHeight="1">
      <c r="A618" s="27">
        <v>369.0</v>
      </c>
      <c r="B618" s="28" t="s">
        <v>1316</v>
      </c>
      <c r="C618" s="28">
        <v>136902.0</v>
      </c>
      <c r="D618" s="28" t="s">
        <v>1321</v>
      </c>
      <c r="E618" s="28" t="s">
        <v>1322</v>
      </c>
      <c r="F618" s="28">
        <v>3.0</v>
      </c>
      <c r="G618" s="28" t="s">
        <v>44</v>
      </c>
      <c r="H618" s="28" t="s">
        <v>119</v>
      </c>
      <c r="I618" s="28" t="s">
        <v>53</v>
      </c>
      <c r="J618" s="28">
        <v>261190.0</v>
      </c>
      <c r="K618" s="29" t="s">
        <v>54</v>
      </c>
      <c r="L618" s="26"/>
      <c r="M618" s="25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ht="18.0" customHeight="1">
      <c r="A619" s="27">
        <v>369.0</v>
      </c>
      <c r="B619" s="28" t="s">
        <v>1316</v>
      </c>
      <c r="C619" s="28">
        <v>136903.0</v>
      </c>
      <c r="D619" s="28" t="s">
        <v>1323</v>
      </c>
      <c r="E619" s="28" t="s">
        <v>1324</v>
      </c>
      <c r="F619" s="28">
        <v>3.0</v>
      </c>
      <c r="G619" s="28" t="s">
        <v>44</v>
      </c>
      <c r="H619" s="28" t="s">
        <v>119</v>
      </c>
      <c r="I619" s="28" t="s">
        <v>53</v>
      </c>
      <c r="J619" s="28">
        <v>257871.0</v>
      </c>
      <c r="K619" s="29" t="s">
        <v>54</v>
      </c>
      <c r="L619" s="26"/>
      <c r="M619" s="25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ht="18.0" customHeight="1">
      <c r="A620" s="27">
        <v>372.0</v>
      </c>
      <c r="B620" s="28" t="s">
        <v>1325</v>
      </c>
      <c r="C620" s="28">
        <v>337201.0</v>
      </c>
      <c r="D620" s="28" t="s">
        <v>1326</v>
      </c>
      <c r="E620" s="28" t="s">
        <v>1327</v>
      </c>
      <c r="F620" s="28">
        <v>1.0</v>
      </c>
      <c r="G620" s="28" t="s">
        <v>44</v>
      </c>
      <c r="H620" s="28" t="s">
        <v>57</v>
      </c>
      <c r="I620" s="28" t="s">
        <v>57</v>
      </c>
      <c r="J620" s="28"/>
      <c r="K620" s="29" t="s">
        <v>58</v>
      </c>
      <c r="L620" s="26"/>
      <c r="M620" s="25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ht="18.0" customHeight="1">
      <c r="A621" s="27">
        <v>372.0</v>
      </c>
      <c r="B621" s="28" t="s">
        <v>1325</v>
      </c>
      <c r="C621" s="28">
        <v>337202.0</v>
      </c>
      <c r="D621" s="28" t="s">
        <v>1328</v>
      </c>
      <c r="E621" s="28" t="s">
        <v>1329</v>
      </c>
      <c r="F621" s="28">
        <v>1.0</v>
      </c>
      <c r="G621" s="28" t="s">
        <v>41</v>
      </c>
      <c r="H621" s="28" t="s">
        <v>57</v>
      </c>
      <c r="I621" s="28" t="s">
        <v>57</v>
      </c>
      <c r="J621" s="28"/>
      <c r="K621" s="29" t="s">
        <v>58</v>
      </c>
      <c r="L621" s="26"/>
      <c r="M621" s="25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ht="18.0" customHeight="1">
      <c r="A622" s="27">
        <v>372.0</v>
      </c>
      <c r="B622" s="28" t="s">
        <v>1325</v>
      </c>
      <c r="C622" s="28">
        <v>337203.0</v>
      </c>
      <c r="D622" s="28" t="s">
        <v>1330</v>
      </c>
      <c r="E622" s="28" t="s">
        <v>1331</v>
      </c>
      <c r="F622" s="28">
        <v>1.0</v>
      </c>
      <c r="G622" s="28" t="s">
        <v>41</v>
      </c>
      <c r="H622" s="28" t="s">
        <v>52</v>
      </c>
      <c r="I622" s="28" t="s">
        <v>53</v>
      </c>
      <c r="J622" s="28">
        <v>272298.0</v>
      </c>
      <c r="K622" s="29" t="s">
        <v>58</v>
      </c>
      <c r="L622" s="26"/>
      <c r="M622" s="25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ht="18.0" customHeight="1">
      <c r="A623" s="27">
        <v>372.0</v>
      </c>
      <c r="B623" s="28" t="s">
        <v>1325</v>
      </c>
      <c r="C623" s="28">
        <v>337204.0</v>
      </c>
      <c r="D623" s="28" t="s">
        <v>1332</v>
      </c>
      <c r="E623" s="28" t="s">
        <v>1333</v>
      </c>
      <c r="F623" s="28">
        <v>1.0</v>
      </c>
      <c r="G623" s="28" t="s">
        <v>41</v>
      </c>
      <c r="H623" s="28" t="s">
        <v>57</v>
      </c>
      <c r="I623" s="28" t="s">
        <v>57</v>
      </c>
      <c r="J623" s="28"/>
      <c r="K623" s="29" t="s">
        <v>58</v>
      </c>
      <c r="L623" s="26"/>
      <c r="M623" s="25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ht="18.0" customHeight="1">
      <c r="A624" s="27">
        <v>372.0</v>
      </c>
      <c r="B624" s="28" t="s">
        <v>1325</v>
      </c>
      <c r="C624" s="28">
        <v>337205.0</v>
      </c>
      <c r="D624" s="28" t="s">
        <v>1334</v>
      </c>
      <c r="E624" s="28" t="s">
        <v>1335</v>
      </c>
      <c r="F624" s="28">
        <v>1.0</v>
      </c>
      <c r="G624" s="28" t="s">
        <v>44</v>
      </c>
      <c r="H624" s="28" t="s">
        <v>61</v>
      </c>
      <c r="I624" s="28" t="s">
        <v>53</v>
      </c>
      <c r="J624" s="28"/>
      <c r="K624" s="29" t="s">
        <v>58</v>
      </c>
      <c r="L624" s="26"/>
      <c r="M624" s="25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ht="18.0" customHeight="1">
      <c r="A625" s="27">
        <v>372.0</v>
      </c>
      <c r="B625" s="28" t="s">
        <v>1325</v>
      </c>
      <c r="C625" s="28">
        <v>337206.0</v>
      </c>
      <c r="D625" s="28" t="s">
        <v>1336</v>
      </c>
      <c r="E625" s="28" t="s">
        <v>1337</v>
      </c>
      <c r="F625" s="28">
        <v>1.0</v>
      </c>
      <c r="G625" s="28" t="s">
        <v>44</v>
      </c>
      <c r="H625" s="28" t="s">
        <v>61</v>
      </c>
      <c r="I625" s="28" t="s">
        <v>53</v>
      </c>
      <c r="J625" s="28"/>
      <c r="K625" s="29" t="s">
        <v>58</v>
      </c>
      <c r="L625" s="26"/>
      <c r="M625" s="25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ht="18.0" customHeight="1">
      <c r="A626" s="27">
        <v>372.0</v>
      </c>
      <c r="B626" s="28" t="s">
        <v>1325</v>
      </c>
      <c r="C626" s="28">
        <v>337207.0</v>
      </c>
      <c r="D626" s="28" t="s">
        <v>1338</v>
      </c>
      <c r="E626" s="28" t="s">
        <v>1339</v>
      </c>
      <c r="F626" s="28">
        <v>1.0</v>
      </c>
      <c r="G626" s="28" t="s">
        <v>41</v>
      </c>
      <c r="H626" s="28" t="s">
        <v>57</v>
      </c>
      <c r="I626" s="28" t="s">
        <v>57</v>
      </c>
      <c r="J626" s="28"/>
      <c r="K626" s="29" t="s">
        <v>58</v>
      </c>
      <c r="L626" s="26"/>
      <c r="M626" s="25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ht="18.0" customHeight="1">
      <c r="A627" s="27">
        <v>372.0</v>
      </c>
      <c r="B627" s="28" t="s">
        <v>1325</v>
      </c>
      <c r="C627" s="28">
        <v>337208.0</v>
      </c>
      <c r="D627" s="28" t="s">
        <v>1340</v>
      </c>
      <c r="E627" s="28" t="s">
        <v>1341</v>
      </c>
      <c r="F627" s="28">
        <v>1.0</v>
      </c>
      <c r="G627" s="28" t="s">
        <v>41</v>
      </c>
      <c r="H627" s="28" t="s">
        <v>57</v>
      </c>
      <c r="I627" s="28" t="s">
        <v>57</v>
      </c>
      <c r="J627" s="28"/>
      <c r="K627" s="29" t="s">
        <v>58</v>
      </c>
      <c r="L627" s="26"/>
      <c r="M627" s="25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ht="18.0" customHeight="1">
      <c r="A628" s="27">
        <v>372.0</v>
      </c>
      <c r="B628" s="28" t="s">
        <v>1325</v>
      </c>
      <c r="C628" s="28">
        <v>337209.0</v>
      </c>
      <c r="D628" s="28" t="s">
        <v>1342</v>
      </c>
      <c r="E628" s="28" t="s">
        <v>1343</v>
      </c>
      <c r="F628" s="28">
        <v>1.0</v>
      </c>
      <c r="G628" s="28" t="s">
        <v>41</v>
      </c>
      <c r="H628" s="28" t="s">
        <v>57</v>
      </c>
      <c r="I628" s="28" t="s">
        <v>57</v>
      </c>
      <c r="J628" s="28"/>
      <c r="K628" s="29" t="s">
        <v>58</v>
      </c>
      <c r="L628" s="26"/>
      <c r="M628" s="25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ht="18.0" customHeight="1">
      <c r="A629" s="27">
        <v>372.0</v>
      </c>
      <c r="B629" s="28" t="s">
        <v>1325</v>
      </c>
      <c r="C629" s="28">
        <v>337210.0</v>
      </c>
      <c r="D629" s="28" t="s">
        <v>1344</v>
      </c>
      <c r="E629" s="28" t="s">
        <v>1345</v>
      </c>
      <c r="F629" s="28">
        <v>1.0</v>
      </c>
      <c r="G629" s="28" t="s">
        <v>41</v>
      </c>
      <c r="H629" s="28" t="s">
        <v>57</v>
      </c>
      <c r="I629" s="28" t="s">
        <v>57</v>
      </c>
      <c r="J629" s="28"/>
      <c r="K629" s="29" t="s">
        <v>58</v>
      </c>
      <c r="L629" s="26"/>
      <c r="M629" s="25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ht="18.0" customHeight="1">
      <c r="A630" s="27">
        <v>372.0</v>
      </c>
      <c r="B630" s="28" t="s">
        <v>1325</v>
      </c>
      <c r="C630" s="28">
        <v>337211.0</v>
      </c>
      <c r="D630" s="28" t="s">
        <v>1346</v>
      </c>
      <c r="E630" s="28" t="s">
        <v>1347</v>
      </c>
      <c r="F630" s="28">
        <v>1.0</v>
      </c>
      <c r="G630" s="28" t="s">
        <v>44</v>
      </c>
      <c r="H630" s="28" t="s">
        <v>57</v>
      </c>
      <c r="I630" s="28" t="s">
        <v>57</v>
      </c>
      <c r="J630" s="28"/>
      <c r="K630" s="29" t="s">
        <v>58</v>
      </c>
      <c r="L630" s="26"/>
      <c r="M630" s="25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ht="18.0" customHeight="1">
      <c r="A631" s="27">
        <v>372.0</v>
      </c>
      <c r="B631" s="28" t="s">
        <v>1325</v>
      </c>
      <c r="C631" s="28">
        <v>337212.0</v>
      </c>
      <c r="D631" s="28" t="s">
        <v>1348</v>
      </c>
      <c r="E631" s="28" t="s">
        <v>1349</v>
      </c>
      <c r="F631" s="28">
        <v>1.0</v>
      </c>
      <c r="G631" s="28" t="s">
        <v>41</v>
      </c>
      <c r="H631" s="28" t="s">
        <v>57</v>
      </c>
      <c r="I631" s="28" t="s">
        <v>57</v>
      </c>
      <c r="J631" s="28"/>
      <c r="K631" s="29" t="s">
        <v>58</v>
      </c>
      <c r="L631" s="26"/>
      <c r="M631" s="25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ht="18.0" customHeight="1">
      <c r="A632" s="27">
        <v>372.0</v>
      </c>
      <c r="B632" s="28" t="s">
        <v>1325</v>
      </c>
      <c r="C632" s="28">
        <v>337213.0</v>
      </c>
      <c r="D632" s="28" t="s">
        <v>1350</v>
      </c>
      <c r="E632" s="28" t="s">
        <v>1351</v>
      </c>
      <c r="F632" s="28">
        <v>1.0</v>
      </c>
      <c r="G632" s="28" t="s">
        <v>41</v>
      </c>
      <c r="H632" s="28" t="s">
        <v>57</v>
      </c>
      <c r="I632" s="28" t="s">
        <v>57</v>
      </c>
      <c r="J632" s="28"/>
      <c r="K632" s="29" t="s">
        <v>58</v>
      </c>
      <c r="L632" s="26"/>
      <c r="M632" s="25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ht="18.0" customHeight="1">
      <c r="A633" s="27">
        <v>372.0</v>
      </c>
      <c r="B633" s="28" t="s">
        <v>1325</v>
      </c>
      <c r="C633" s="28">
        <v>337214.0</v>
      </c>
      <c r="D633" s="28" t="s">
        <v>1352</v>
      </c>
      <c r="E633" s="28" t="s">
        <v>1353</v>
      </c>
      <c r="F633" s="28">
        <v>1.0</v>
      </c>
      <c r="G633" s="28" t="s">
        <v>41</v>
      </c>
      <c r="H633" s="28" t="s">
        <v>57</v>
      </c>
      <c r="I633" s="28" t="s">
        <v>57</v>
      </c>
      <c r="J633" s="28"/>
      <c r="K633" s="29" t="s">
        <v>58</v>
      </c>
      <c r="L633" s="26"/>
      <c r="M633" s="25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ht="18.0" customHeight="1">
      <c r="A634" s="27">
        <v>372.0</v>
      </c>
      <c r="B634" s="28" t="s">
        <v>1325</v>
      </c>
      <c r="C634" s="28">
        <v>337215.0</v>
      </c>
      <c r="D634" s="28" t="s">
        <v>1354</v>
      </c>
      <c r="E634" s="28" t="s">
        <v>1355</v>
      </c>
      <c r="F634" s="28">
        <v>1.0</v>
      </c>
      <c r="G634" s="28" t="s">
        <v>44</v>
      </c>
      <c r="H634" s="28" t="s">
        <v>57</v>
      </c>
      <c r="I634" s="28" t="s">
        <v>57</v>
      </c>
      <c r="J634" s="28"/>
      <c r="K634" s="29" t="s">
        <v>58</v>
      </c>
      <c r="L634" s="26"/>
      <c r="M634" s="25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ht="18.0" customHeight="1">
      <c r="A635" s="27">
        <v>372.0</v>
      </c>
      <c r="B635" s="28" t="s">
        <v>1325</v>
      </c>
      <c r="C635" s="28">
        <v>337216.0</v>
      </c>
      <c r="D635" s="28" t="s">
        <v>1356</v>
      </c>
      <c r="E635" s="28" t="s">
        <v>1357</v>
      </c>
      <c r="F635" s="28">
        <v>1.0</v>
      </c>
      <c r="G635" s="28" t="s">
        <v>41</v>
      </c>
      <c r="H635" s="28" t="s">
        <v>57</v>
      </c>
      <c r="I635" s="28" t="s">
        <v>57</v>
      </c>
      <c r="J635" s="28"/>
      <c r="K635" s="29" t="s">
        <v>58</v>
      </c>
      <c r="L635" s="26"/>
      <c r="M635" s="25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ht="18.0" customHeight="1">
      <c r="A636" s="27">
        <v>372.0</v>
      </c>
      <c r="B636" s="28" t="s">
        <v>1325</v>
      </c>
      <c r="C636" s="28">
        <v>237202.0</v>
      </c>
      <c r="D636" s="28" t="s">
        <v>1358</v>
      </c>
      <c r="E636" s="28" t="s">
        <v>1359</v>
      </c>
      <c r="F636" s="28">
        <v>2.0</v>
      </c>
      <c r="G636" s="28" t="s">
        <v>41</v>
      </c>
      <c r="H636" s="28" t="s">
        <v>57</v>
      </c>
      <c r="I636" s="28" t="s">
        <v>57</v>
      </c>
      <c r="J636" s="28"/>
      <c r="K636" s="29" t="s">
        <v>58</v>
      </c>
      <c r="L636" s="26"/>
      <c r="M636" s="25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ht="18.0" customHeight="1">
      <c r="A637" s="27">
        <v>372.0</v>
      </c>
      <c r="B637" s="28" t="s">
        <v>1325</v>
      </c>
      <c r="C637" s="28">
        <v>237203.0</v>
      </c>
      <c r="D637" s="28" t="s">
        <v>1360</v>
      </c>
      <c r="E637" s="28" t="s">
        <v>1361</v>
      </c>
      <c r="F637" s="28">
        <v>2.0</v>
      </c>
      <c r="G637" s="28" t="s">
        <v>41</v>
      </c>
      <c r="H637" s="28" t="s">
        <v>57</v>
      </c>
      <c r="I637" s="28" t="s">
        <v>57</v>
      </c>
      <c r="J637" s="28"/>
      <c r="K637" s="29" t="s">
        <v>58</v>
      </c>
      <c r="L637" s="26"/>
      <c r="M637" s="25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ht="18.0" customHeight="1">
      <c r="A638" s="27">
        <v>372.0</v>
      </c>
      <c r="B638" s="28" t="s">
        <v>1325</v>
      </c>
      <c r="C638" s="28">
        <v>237204.0</v>
      </c>
      <c r="D638" s="28" t="s">
        <v>1362</v>
      </c>
      <c r="E638" s="28" t="s">
        <v>1363</v>
      </c>
      <c r="F638" s="28">
        <v>2.0</v>
      </c>
      <c r="G638" s="28" t="s">
        <v>41</v>
      </c>
      <c r="H638" s="28" t="s">
        <v>57</v>
      </c>
      <c r="I638" s="28" t="s">
        <v>57</v>
      </c>
      <c r="J638" s="28"/>
      <c r="K638" s="29" t="s">
        <v>58</v>
      </c>
      <c r="L638" s="26"/>
      <c r="M638" s="25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ht="18.0" customHeight="1">
      <c r="A639" s="27">
        <v>372.0</v>
      </c>
      <c r="B639" s="28" t="s">
        <v>1325</v>
      </c>
      <c r="C639" s="28">
        <v>237205.0</v>
      </c>
      <c r="D639" s="28" t="s">
        <v>1364</v>
      </c>
      <c r="E639" s="28" t="s">
        <v>1365</v>
      </c>
      <c r="F639" s="28">
        <v>2.0</v>
      </c>
      <c r="G639" s="28" t="s">
        <v>41</v>
      </c>
      <c r="H639" s="28" t="s">
        <v>57</v>
      </c>
      <c r="I639" s="28" t="s">
        <v>57</v>
      </c>
      <c r="J639" s="28"/>
      <c r="K639" s="29" t="s">
        <v>58</v>
      </c>
      <c r="L639" s="26"/>
      <c r="M639" s="25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ht="18.0" customHeight="1">
      <c r="A640" s="27">
        <v>372.0</v>
      </c>
      <c r="B640" s="28" t="s">
        <v>1325</v>
      </c>
      <c r="C640" s="28">
        <v>237206.0</v>
      </c>
      <c r="D640" s="28" t="s">
        <v>1366</v>
      </c>
      <c r="E640" s="28" t="s">
        <v>1367</v>
      </c>
      <c r="F640" s="28">
        <v>2.0</v>
      </c>
      <c r="G640" s="28" t="s">
        <v>41</v>
      </c>
      <c r="H640" s="28" t="s">
        <v>57</v>
      </c>
      <c r="I640" s="28" t="s">
        <v>57</v>
      </c>
      <c r="J640" s="28"/>
      <c r="K640" s="29" t="s">
        <v>58</v>
      </c>
      <c r="L640" s="26"/>
      <c r="M640" s="25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ht="18.0" customHeight="1">
      <c r="A641" s="27">
        <v>372.0</v>
      </c>
      <c r="B641" s="28" t="s">
        <v>1325</v>
      </c>
      <c r="C641" s="28">
        <v>237207.0</v>
      </c>
      <c r="D641" s="28" t="s">
        <v>1368</v>
      </c>
      <c r="E641" s="28" t="s">
        <v>1369</v>
      </c>
      <c r="F641" s="28">
        <v>2.0</v>
      </c>
      <c r="G641" s="28" t="s">
        <v>41</v>
      </c>
      <c r="H641" s="28" t="s">
        <v>57</v>
      </c>
      <c r="I641" s="28" t="s">
        <v>57</v>
      </c>
      <c r="J641" s="28"/>
      <c r="K641" s="29" t="s">
        <v>58</v>
      </c>
      <c r="L641" s="26"/>
      <c r="M641" s="25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ht="18.0" customHeight="1">
      <c r="A642" s="27">
        <v>372.0</v>
      </c>
      <c r="B642" s="28" t="s">
        <v>1325</v>
      </c>
      <c r="C642" s="28">
        <v>237208.0</v>
      </c>
      <c r="D642" s="28" t="s">
        <v>1370</v>
      </c>
      <c r="E642" s="28" t="s">
        <v>1371</v>
      </c>
      <c r="F642" s="28">
        <v>2.0</v>
      </c>
      <c r="G642" s="28" t="s">
        <v>44</v>
      </c>
      <c r="H642" s="28" t="s">
        <v>57</v>
      </c>
      <c r="I642" s="28" t="s">
        <v>57</v>
      </c>
      <c r="J642" s="28"/>
      <c r="K642" s="29" t="s">
        <v>58</v>
      </c>
      <c r="L642" s="26"/>
      <c r="M642" s="25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ht="18.0" customHeight="1">
      <c r="A643" s="27">
        <v>372.0</v>
      </c>
      <c r="B643" s="28" t="s">
        <v>1325</v>
      </c>
      <c r="C643" s="28">
        <v>237209.0</v>
      </c>
      <c r="D643" s="28" t="s">
        <v>1372</v>
      </c>
      <c r="E643" s="28" t="s">
        <v>1373</v>
      </c>
      <c r="F643" s="28">
        <v>2.0</v>
      </c>
      <c r="G643" s="28" t="s">
        <v>44</v>
      </c>
      <c r="H643" s="28" t="s">
        <v>57</v>
      </c>
      <c r="I643" s="28" t="s">
        <v>57</v>
      </c>
      <c r="J643" s="28"/>
      <c r="K643" s="29" t="s">
        <v>58</v>
      </c>
      <c r="L643" s="26"/>
      <c r="M643" s="25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ht="18.0" customHeight="1">
      <c r="A644" s="27">
        <v>372.0</v>
      </c>
      <c r="B644" s="28" t="s">
        <v>1325</v>
      </c>
      <c r="C644" s="28">
        <v>237211.0</v>
      </c>
      <c r="D644" s="28" t="s">
        <v>1374</v>
      </c>
      <c r="E644" s="28" t="s">
        <v>1375</v>
      </c>
      <c r="F644" s="28">
        <v>2.0</v>
      </c>
      <c r="G644" s="28" t="s">
        <v>41</v>
      </c>
      <c r="H644" s="28" t="s">
        <v>57</v>
      </c>
      <c r="I644" s="28" t="s">
        <v>57</v>
      </c>
      <c r="J644" s="28"/>
      <c r="K644" s="29" t="s">
        <v>58</v>
      </c>
      <c r="L644" s="26"/>
      <c r="M644" s="25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ht="18.0" customHeight="1">
      <c r="A645" s="27">
        <v>372.0</v>
      </c>
      <c r="B645" s="28" t="s">
        <v>1325</v>
      </c>
      <c r="C645" s="28">
        <v>237212.0</v>
      </c>
      <c r="D645" s="28" t="s">
        <v>1376</v>
      </c>
      <c r="E645" s="28" t="s">
        <v>1377</v>
      </c>
      <c r="F645" s="28">
        <v>2.0</v>
      </c>
      <c r="G645" s="28" t="s">
        <v>41</v>
      </c>
      <c r="H645" s="28" t="s">
        <v>57</v>
      </c>
      <c r="I645" s="28" t="s">
        <v>57</v>
      </c>
      <c r="J645" s="28"/>
      <c r="K645" s="29" t="s">
        <v>58</v>
      </c>
      <c r="L645" s="26"/>
      <c r="M645" s="25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ht="18.0" customHeight="1">
      <c r="A646" s="27">
        <v>372.0</v>
      </c>
      <c r="B646" s="28" t="s">
        <v>1325</v>
      </c>
      <c r="C646" s="28">
        <v>137202.0</v>
      </c>
      <c r="D646" s="28" t="s">
        <v>1378</v>
      </c>
      <c r="E646" s="28" t="s">
        <v>1379</v>
      </c>
      <c r="F646" s="28">
        <v>3.0</v>
      </c>
      <c r="G646" s="28" t="s">
        <v>41</v>
      </c>
      <c r="H646" s="28" t="s">
        <v>57</v>
      </c>
      <c r="I646" s="28" t="s">
        <v>57</v>
      </c>
      <c r="J646" s="28"/>
      <c r="K646" s="29" t="s">
        <v>58</v>
      </c>
      <c r="L646" s="26"/>
      <c r="M646" s="25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ht="18.0" customHeight="1">
      <c r="A647" s="27">
        <v>372.0</v>
      </c>
      <c r="B647" s="28" t="s">
        <v>1325</v>
      </c>
      <c r="C647" s="28">
        <v>137203.0</v>
      </c>
      <c r="D647" s="28" t="s">
        <v>1380</v>
      </c>
      <c r="E647" s="28" t="s">
        <v>1381</v>
      </c>
      <c r="F647" s="28">
        <v>3.0</v>
      </c>
      <c r="G647" s="28" t="s">
        <v>41</v>
      </c>
      <c r="H647" s="28" t="s">
        <v>130</v>
      </c>
      <c r="I647" s="28" t="s">
        <v>53</v>
      </c>
      <c r="J647" s="28">
        <v>518382.0</v>
      </c>
      <c r="K647" s="29" t="s">
        <v>58</v>
      </c>
      <c r="L647" s="26"/>
      <c r="M647" s="25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ht="18.0" customHeight="1">
      <c r="A648" s="27">
        <v>372.0</v>
      </c>
      <c r="B648" s="28" t="s">
        <v>1325</v>
      </c>
      <c r="C648" s="28">
        <v>137204.0</v>
      </c>
      <c r="D648" s="28" t="s">
        <v>1382</v>
      </c>
      <c r="E648" s="28" t="s">
        <v>1383</v>
      </c>
      <c r="F648" s="28">
        <v>3.0</v>
      </c>
      <c r="G648" s="28" t="s">
        <v>41</v>
      </c>
      <c r="H648" s="28" t="s">
        <v>57</v>
      </c>
      <c r="I648" s="28" t="s">
        <v>57</v>
      </c>
      <c r="J648" s="28"/>
      <c r="K648" s="29" t="s">
        <v>58</v>
      </c>
      <c r="L648" s="26"/>
      <c r="M648" s="25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ht="18.0" customHeight="1">
      <c r="A649" s="27">
        <v>372.0</v>
      </c>
      <c r="B649" s="28" t="s">
        <v>1325</v>
      </c>
      <c r="C649" s="28">
        <v>137206.0</v>
      </c>
      <c r="D649" s="28" t="s">
        <v>1384</v>
      </c>
      <c r="E649" s="28" t="s">
        <v>1385</v>
      </c>
      <c r="F649" s="28">
        <v>3.0</v>
      </c>
      <c r="G649" s="28" t="s">
        <v>41</v>
      </c>
      <c r="H649" s="28" t="s">
        <v>57</v>
      </c>
      <c r="I649" s="28" t="s">
        <v>57</v>
      </c>
      <c r="J649" s="28"/>
      <c r="K649" s="29" t="s">
        <v>58</v>
      </c>
      <c r="L649" s="26"/>
      <c r="M649" s="25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ht="18.0" customHeight="1">
      <c r="A650" s="27">
        <v>372.0</v>
      </c>
      <c r="B650" s="28" t="s">
        <v>1325</v>
      </c>
      <c r="C650" s="28">
        <v>137207.0</v>
      </c>
      <c r="D650" s="28" t="s">
        <v>1386</v>
      </c>
      <c r="E650" s="28" t="s">
        <v>1387</v>
      </c>
      <c r="F650" s="28">
        <v>3.0</v>
      </c>
      <c r="G650" s="28" t="s">
        <v>41</v>
      </c>
      <c r="H650" s="28" t="s">
        <v>57</v>
      </c>
      <c r="I650" s="28" t="s">
        <v>57</v>
      </c>
      <c r="J650" s="28"/>
      <c r="K650" s="29" t="s">
        <v>58</v>
      </c>
      <c r="L650" s="26"/>
      <c r="M650" s="25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ht="18.0" customHeight="1">
      <c r="A651" s="27">
        <v>377.0</v>
      </c>
      <c r="B651" s="28" t="s">
        <v>1388</v>
      </c>
      <c r="C651" s="28">
        <v>337701.0</v>
      </c>
      <c r="D651" s="28" t="s">
        <v>1389</v>
      </c>
      <c r="E651" s="28" t="s">
        <v>1390</v>
      </c>
      <c r="F651" s="28">
        <v>3.0</v>
      </c>
      <c r="G651" s="28" t="s">
        <v>41</v>
      </c>
      <c r="H651" s="28" t="s">
        <v>130</v>
      </c>
      <c r="I651" s="28" t="s">
        <v>53</v>
      </c>
      <c r="J651" s="28"/>
      <c r="K651" s="29" t="s">
        <v>54</v>
      </c>
      <c r="L651" s="26"/>
      <c r="M651" s="25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ht="18.0" customHeight="1">
      <c r="A652" s="27">
        <v>378.0</v>
      </c>
      <c r="B652" s="28" t="s">
        <v>1391</v>
      </c>
      <c r="C652" s="28">
        <v>337801.0</v>
      </c>
      <c r="D652" s="28" t="s">
        <v>1392</v>
      </c>
      <c r="E652" s="28" t="s">
        <v>1393</v>
      </c>
      <c r="F652" s="28">
        <v>1.0</v>
      </c>
      <c r="G652" s="28" t="s">
        <v>44</v>
      </c>
      <c r="H652" s="28" t="s">
        <v>61</v>
      </c>
      <c r="I652" s="28" t="s">
        <v>53</v>
      </c>
      <c r="J652" s="28">
        <v>530644.0</v>
      </c>
      <c r="K652" s="29" t="s">
        <v>54</v>
      </c>
      <c r="L652" s="26"/>
      <c r="M652" s="25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ht="18.0" customHeight="1">
      <c r="A653" s="27">
        <v>378.0</v>
      </c>
      <c r="B653" s="28" t="s">
        <v>1391</v>
      </c>
      <c r="C653" s="28">
        <v>337802.0</v>
      </c>
      <c r="D653" s="28" t="s">
        <v>1394</v>
      </c>
      <c r="E653" s="28" t="s">
        <v>1395</v>
      </c>
      <c r="F653" s="28">
        <v>1.0</v>
      </c>
      <c r="G653" s="28" t="s">
        <v>41</v>
      </c>
      <c r="H653" s="28" t="s">
        <v>52</v>
      </c>
      <c r="I653" s="28" t="s">
        <v>53</v>
      </c>
      <c r="J653" s="28">
        <v>530638.0</v>
      </c>
      <c r="K653" s="29" t="s">
        <v>54</v>
      </c>
      <c r="L653" s="26"/>
      <c r="M653" s="25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ht="18.0" customHeight="1">
      <c r="A654" s="27">
        <v>378.0</v>
      </c>
      <c r="B654" s="28" t="s">
        <v>1391</v>
      </c>
      <c r="C654" s="28">
        <v>337803.0</v>
      </c>
      <c r="D654" s="28" t="s">
        <v>1396</v>
      </c>
      <c r="E654" s="28" t="s">
        <v>1397</v>
      </c>
      <c r="F654" s="28">
        <v>1.0</v>
      </c>
      <c r="G654" s="28" t="s">
        <v>41</v>
      </c>
      <c r="H654" s="28" t="s">
        <v>52</v>
      </c>
      <c r="I654" s="28" t="s">
        <v>53</v>
      </c>
      <c r="J654" s="28">
        <v>531139.0</v>
      </c>
      <c r="K654" s="29" t="s">
        <v>54</v>
      </c>
      <c r="L654" s="26"/>
      <c r="M654" s="25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ht="18.0" customHeight="1">
      <c r="A655" s="27">
        <v>378.0</v>
      </c>
      <c r="B655" s="28" t="s">
        <v>1391</v>
      </c>
      <c r="C655" s="28">
        <v>337804.0</v>
      </c>
      <c r="D655" s="28" t="s">
        <v>1398</v>
      </c>
      <c r="E655" s="28" t="s">
        <v>1399</v>
      </c>
      <c r="F655" s="28">
        <v>1.0</v>
      </c>
      <c r="G655" s="28" t="s">
        <v>41</v>
      </c>
      <c r="H655" s="28" t="s">
        <v>57</v>
      </c>
      <c r="I655" s="28" t="s">
        <v>57</v>
      </c>
      <c r="J655" s="28"/>
      <c r="K655" s="29" t="s">
        <v>58</v>
      </c>
      <c r="L655" s="26"/>
      <c r="M655" s="25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ht="18.0" customHeight="1">
      <c r="A656" s="27">
        <v>378.0</v>
      </c>
      <c r="B656" s="28" t="s">
        <v>1391</v>
      </c>
      <c r="C656" s="28">
        <v>337805.0</v>
      </c>
      <c r="D656" s="28" t="s">
        <v>1400</v>
      </c>
      <c r="E656" s="28" t="s">
        <v>1401</v>
      </c>
      <c r="F656" s="28">
        <v>1.0</v>
      </c>
      <c r="G656" s="28" t="s">
        <v>44</v>
      </c>
      <c r="H656" s="28" t="s">
        <v>61</v>
      </c>
      <c r="I656" s="28" t="s">
        <v>53</v>
      </c>
      <c r="J656" s="28">
        <v>531148.0</v>
      </c>
      <c r="K656" s="29" t="s">
        <v>54</v>
      </c>
      <c r="L656" s="26"/>
      <c r="M656" s="25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ht="18.0" customHeight="1">
      <c r="A657" s="27">
        <v>378.0</v>
      </c>
      <c r="B657" s="28" t="s">
        <v>1391</v>
      </c>
      <c r="C657" s="28">
        <v>337806.0</v>
      </c>
      <c r="D657" s="28" t="s">
        <v>1402</v>
      </c>
      <c r="E657" s="28" t="s">
        <v>1403</v>
      </c>
      <c r="F657" s="28">
        <v>1.0</v>
      </c>
      <c r="G657" s="28" t="s">
        <v>44</v>
      </c>
      <c r="H657" s="28" t="s">
        <v>57</v>
      </c>
      <c r="I657" s="28" t="s">
        <v>57</v>
      </c>
      <c r="J657" s="28"/>
      <c r="K657" s="29" t="s">
        <v>58</v>
      </c>
      <c r="L657" s="26"/>
      <c r="M657" s="25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ht="18.0" customHeight="1">
      <c r="A658" s="27">
        <v>378.0</v>
      </c>
      <c r="B658" s="28" t="s">
        <v>1391</v>
      </c>
      <c r="C658" s="28">
        <v>337807.0</v>
      </c>
      <c r="D658" s="28" t="s">
        <v>1404</v>
      </c>
      <c r="E658" s="28" t="s">
        <v>1405</v>
      </c>
      <c r="F658" s="28">
        <v>1.0</v>
      </c>
      <c r="G658" s="28" t="s">
        <v>41</v>
      </c>
      <c r="H658" s="28" t="s">
        <v>57</v>
      </c>
      <c r="I658" s="28" t="s">
        <v>57</v>
      </c>
      <c r="J658" s="28"/>
      <c r="K658" s="29" t="s">
        <v>58</v>
      </c>
      <c r="L658" s="26"/>
      <c r="M658" s="25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ht="18.0" customHeight="1">
      <c r="A659" s="27">
        <v>378.0</v>
      </c>
      <c r="B659" s="28" t="s">
        <v>1391</v>
      </c>
      <c r="C659" s="28">
        <v>337808.0</v>
      </c>
      <c r="D659" s="28" t="s">
        <v>1406</v>
      </c>
      <c r="E659" s="28" t="s">
        <v>1407</v>
      </c>
      <c r="F659" s="28">
        <v>1.0</v>
      </c>
      <c r="G659" s="28" t="s">
        <v>41</v>
      </c>
      <c r="H659" s="28" t="s">
        <v>52</v>
      </c>
      <c r="I659" s="28" t="s">
        <v>53</v>
      </c>
      <c r="J659" s="28">
        <v>531150.0</v>
      </c>
      <c r="K659" s="29" t="s">
        <v>54</v>
      </c>
      <c r="L659" s="26"/>
      <c r="M659" s="25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ht="18.0" customHeight="1">
      <c r="A660" s="27">
        <v>378.0</v>
      </c>
      <c r="B660" s="28" t="s">
        <v>1391</v>
      </c>
      <c r="C660" s="28">
        <v>337809.0</v>
      </c>
      <c r="D660" s="28" t="s">
        <v>1408</v>
      </c>
      <c r="E660" s="28" t="s">
        <v>1409</v>
      </c>
      <c r="F660" s="28">
        <v>1.0</v>
      </c>
      <c r="G660" s="28" t="s">
        <v>44</v>
      </c>
      <c r="H660" s="28" t="s">
        <v>61</v>
      </c>
      <c r="I660" s="28" t="s">
        <v>53</v>
      </c>
      <c r="J660" s="28">
        <v>531149.0</v>
      </c>
      <c r="K660" s="29" t="s">
        <v>54</v>
      </c>
      <c r="L660" s="26"/>
      <c r="M660" s="25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ht="18.0" customHeight="1">
      <c r="A661" s="27">
        <v>378.0</v>
      </c>
      <c r="B661" s="28" t="s">
        <v>1391</v>
      </c>
      <c r="C661" s="28">
        <v>337810.0</v>
      </c>
      <c r="D661" s="28" t="s">
        <v>1410</v>
      </c>
      <c r="E661" s="28" t="s">
        <v>1411</v>
      </c>
      <c r="F661" s="28">
        <v>1.0</v>
      </c>
      <c r="G661" s="28" t="s">
        <v>41</v>
      </c>
      <c r="H661" s="28" t="s">
        <v>52</v>
      </c>
      <c r="I661" s="28" t="s">
        <v>53</v>
      </c>
      <c r="J661" s="28">
        <v>530645.0</v>
      </c>
      <c r="K661" s="29" t="s">
        <v>54</v>
      </c>
      <c r="L661" s="26"/>
      <c r="M661" s="25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ht="18.0" customHeight="1">
      <c r="A662" s="27">
        <v>378.0</v>
      </c>
      <c r="B662" s="28" t="s">
        <v>1391</v>
      </c>
      <c r="C662" s="28">
        <v>337811.0</v>
      </c>
      <c r="D662" s="28" t="s">
        <v>1412</v>
      </c>
      <c r="E662" s="28" t="s">
        <v>1413</v>
      </c>
      <c r="F662" s="28">
        <v>1.0</v>
      </c>
      <c r="G662" s="28" t="s">
        <v>41</v>
      </c>
      <c r="H662" s="28" t="s">
        <v>57</v>
      </c>
      <c r="I662" s="28" t="s">
        <v>57</v>
      </c>
      <c r="J662" s="28"/>
      <c r="K662" s="29" t="s">
        <v>58</v>
      </c>
      <c r="L662" s="26"/>
      <c r="M662" s="25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ht="18.0" customHeight="1">
      <c r="A663" s="27">
        <v>378.0</v>
      </c>
      <c r="B663" s="28" t="s">
        <v>1391</v>
      </c>
      <c r="C663" s="28">
        <v>337812.0</v>
      </c>
      <c r="D663" s="28" t="s">
        <v>1414</v>
      </c>
      <c r="E663" s="28" t="s">
        <v>1415</v>
      </c>
      <c r="F663" s="28">
        <v>1.0</v>
      </c>
      <c r="G663" s="28" t="s">
        <v>41</v>
      </c>
      <c r="H663" s="28" t="s">
        <v>57</v>
      </c>
      <c r="I663" s="28" t="s">
        <v>57</v>
      </c>
      <c r="J663" s="28"/>
      <c r="K663" s="29" t="s">
        <v>58</v>
      </c>
      <c r="L663" s="26"/>
      <c r="M663" s="25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ht="18.0" customHeight="1">
      <c r="A664" s="27">
        <v>378.0</v>
      </c>
      <c r="B664" s="28" t="s">
        <v>1391</v>
      </c>
      <c r="C664" s="28">
        <v>237801.0</v>
      </c>
      <c r="D664" s="28" t="s">
        <v>1416</v>
      </c>
      <c r="E664" s="28" t="s">
        <v>1417</v>
      </c>
      <c r="F664" s="28">
        <v>2.0</v>
      </c>
      <c r="G664" s="28" t="s">
        <v>44</v>
      </c>
      <c r="H664" s="28" t="s">
        <v>114</v>
      </c>
      <c r="I664" s="28" t="s">
        <v>53</v>
      </c>
      <c r="J664" s="28">
        <v>528631.0</v>
      </c>
      <c r="K664" s="29" t="s">
        <v>58</v>
      </c>
      <c r="L664" s="26"/>
      <c r="M664" s="25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ht="18.0" customHeight="1">
      <c r="A665" s="27">
        <v>378.0</v>
      </c>
      <c r="B665" s="28" t="s">
        <v>1391</v>
      </c>
      <c r="C665" s="28">
        <v>237802.0</v>
      </c>
      <c r="D665" s="28" t="s">
        <v>1418</v>
      </c>
      <c r="E665" s="28" t="s">
        <v>1419</v>
      </c>
      <c r="F665" s="28">
        <v>2.0</v>
      </c>
      <c r="G665" s="28" t="s">
        <v>44</v>
      </c>
      <c r="H665" s="28" t="s">
        <v>119</v>
      </c>
      <c r="I665" s="28" t="s">
        <v>53</v>
      </c>
      <c r="J665" s="28">
        <v>524949.0</v>
      </c>
      <c r="K665" s="29" t="s">
        <v>54</v>
      </c>
      <c r="L665" s="26"/>
      <c r="M665" s="25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ht="18.0" customHeight="1">
      <c r="A666" s="27">
        <v>378.0</v>
      </c>
      <c r="B666" s="28" t="s">
        <v>1391</v>
      </c>
      <c r="C666" s="28">
        <v>237804.0</v>
      </c>
      <c r="D666" s="28" t="s">
        <v>1420</v>
      </c>
      <c r="E666" s="28" t="s">
        <v>1421</v>
      </c>
      <c r="F666" s="28">
        <v>2.0</v>
      </c>
      <c r="G666" s="28" t="s">
        <v>41</v>
      </c>
      <c r="H666" s="28" t="s">
        <v>130</v>
      </c>
      <c r="I666" s="28" t="s">
        <v>53</v>
      </c>
      <c r="J666" s="28">
        <v>528177.0</v>
      </c>
      <c r="K666" s="29" t="s">
        <v>54</v>
      </c>
      <c r="L666" s="26"/>
      <c r="M666" s="25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ht="18.0" customHeight="1">
      <c r="A667" s="27">
        <v>378.0</v>
      </c>
      <c r="B667" s="28" t="s">
        <v>1391</v>
      </c>
      <c r="C667" s="28">
        <v>137801.0</v>
      </c>
      <c r="D667" s="28" t="s">
        <v>1422</v>
      </c>
      <c r="E667" s="28" t="s">
        <v>1423</v>
      </c>
      <c r="F667" s="28">
        <v>3.0</v>
      </c>
      <c r="G667" s="28" t="s">
        <v>41</v>
      </c>
      <c r="H667" s="28" t="s">
        <v>130</v>
      </c>
      <c r="I667" s="28" t="s">
        <v>53</v>
      </c>
      <c r="J667" s="28">
        <v>528178.0</v>
      </c>
      <c r="K667" s="29" t="s">
        <v>54</v>
      </c>
      <c r="L667" s="26"/>
      <c r="M667" s="25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ht="18.0" customHeight="1">
      <c r="A668" s="27">
        <v>378.0</v>
      </c>
      <c r="B668" s="28" t="s">
        <v>1391</v>
      </c>
      <c r="C668" s="28">
        <v>137802.0</v>
      </c>
      <c r="D668" s="28" t="s">
        <v>1424</v>
      </c>
      <c r="E668" s="28" t="s">
        <v>1425</v>
      </c>
      <c r="F668" s="28">
        <v>3.0</v>
      </c>
      <c r="G668" s="28" t="s">
        <v>44</v>
      </c>
      <c r="H668" s="28" t="s">
        <v>119</v>
      </c>
      <c r="I668" s="28" t="s">
        <v>53</v>
      </c>
      <c r="J668" s="28">
        <v>528175.0</v>
      </c>
      <c r="K668" s="29" t="s">
        <v>54</v>
      </c>
      <c r="L668" s="26"/>
      <c r="M668" s="25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ht="18.0" customHeight="1">
      <c r="A669" s="27">
        <v>378.0</v>
      </c>
      <c r="B669" s="28" t="s">
        <v>1391</v>
      </c>
      <c r="C669" s="28">
        <v>137805.0</v>
      </c>
      <c r="D669" s="28" t="s">
        <v>1426</v>
      </c>
      <c r="E669" s="28" t="s">
        <v>1427</v>
      </c>
      <c r="F669" s="28">
        <v>3.0</v>
      </c>
      <c r="G669" s="28" t="s">
        <v>41</v>
      </c>
      <c r="H669" s="28" t="s">
        <v>130</v>
      </c>
      <c r="I669" s="28" t="s">
        <v>53</v>
      </c>
      <c r="J669" s="28">
        <v>527875.0</v>
      </c>
      <c r="K669" s="29" t="s">
        <v>54</v>
      </c>
      <c r="L669" s="26"/>
      <c r="M669" s="25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ht="18.0" customHeight="1">
      <c r="A670" s="27">
        <v>378.0</v>
      </c>
      <c r="B670" s="28" t="s">
        <v>1391</v>
      </c>
      <c r="C670" s="28">
        <v>137806.0</v>
      </c>
      <c r="D670" s="28" t="s">
        <v>1428</v>
      </c>
      <c r="E670" s="28" t="s">
        <v>1429</v>
      </c>
      <c r="F670" s="28">
        <v>3.0</v>
      </c>
      <c r="G670" s="28" t="s">
        <v>44</v>
      </c>
      <c r="H670" s="28" t="s">
        <v>119</v>
      </c>
      <c r="I670" s="28" t="s">
        <v>53</v>
      </c>
      <c r="J670" s="28">
        <v>528176.0</v>
      </c>
      <c r="K670" s="29" t="s">
        <v>54</v>
      </c>
      <c r="L670" s="26"/>
      <c r="M670" s="25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ht="18.0" customHeight="1">
      <c r="A671" s="27">
        <v>378.0</v>
      </c>
      <c r="B671" s="28" t="s">
        <v>1391</v>
      </c>
      <c r="C671" s="28">
        <v>37801.0</v>
      </c>
      <c r="D671" s="28" t="s">
        <v>1430</v>
      </c>
      <c r="E671" s="28" t="s">
        <v>1431</v>
      </c>
      <c r="F671" s="28">
        <v>4.0</v>
      </c>
      <c r="G671" s="28" t="s">
        <v>44</v>
      </c>
      <c r="H671" s="28" t="s">
        <v>119</v>
      </c>
      <c r="I671" s="28" t="s">
        <v>53</v>
      </c>
      <c r="J671" s="28">
        <v>524937.0</v>
      </c>
      <c r="K671" s="29" t="s">
        <v>54</v>
      </c>
      <c r="L671" s="26"/>
      <c r="M671" s="25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ht="18.0" customHeight="1">
      <c r="A672" s="27">
        <v>380.0</v>
      </c>
      <c r="B672" s="28" t="s">
        <v>1432</v>
      </c>
      <c r="C672" s="28">
        <v>238001.0</v>
      </c>
      <c r="D672" s="28" t="s">
        <v>1433</v>
      </c>
      <c r="E672" s="28" t="s">
        <v>1434</v>
      </c>
      <c r="F672" s="28">
        <v>2.0</v>
      </c>
      <c r="G672" s="28" t="s">
        <v>41</v>
      </c>
      <c r="H672" s="28" t="s">
        <v>130</v>
      </c>
      <c r="I672" s="28" t="s">
        <v>53</v>
      </c>
      <c r="J672" s="28">
        <v>265834.0</v>
      </c>
      <c r="K672" s="29" t="s">
        <v>54</v>
      </c>
      <c r="L672" s="26"/>
      <c r="M672" s="25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ht="18.0" customHeight="1">
      <c r="A673" s="27">
        <v>388.0</v>
      </c>
      <c r="B673" s="28" t="s">
        <v>1435</v>
      </c>
      <c r="C673" s="28">
        <v>38801.0</v>
      </c>
      <c r="D673" s="28" t="s">
        <v>1436</v>
      </c>
      <c r="E673" s="28" t="s">
        <v>1437</v>
      </c>
      <c r="F673" s="28">
        <v>4.0</v>
      </c>
      <c r="G673" s="28" t="s">
        <v>44</v>
      </c>
      <c r="H673" s="28" t="s">
        <v>119</v>
      </c>
      <c r="I673" s="28" t="s">
        <v>53</v>
      </c>
      <c r="J673" s="28">
        <v>265831.0</v>
      </c>
      <c r="K673" s="29" t="s">
        <v>54</v>
      </c>
      <c r="L673" s="26"/>
      <c r="M673" s="25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ht="18.0" customHeight="1">
      <c r="A674" s="27">
        <v>391.0</v>
      </c>
      <c r="B674" s="28" t="s">
        <v>1438</v>
      </c>
      <c r="C674" s="28">
        <v>239101.0</v>
      </c>
      <c r="D674" s="28" t="s">
        <v>1439</v>
      </c>
      <c r="E674" s="28" t="s">
        <v>1440</v>
      </c>
      <c r="F674" s="28">
        <v>2.0</v>
      </c>
      <c r="G674" s="28" t="s">
        <v>44</v>
      </c>
      <c r="H674" s="28" t="s">
        <v>119</v>
      </c>
      <c r="I674" s="28" t="s">
        <v>53</v>
      </c>
      <c r="J674" s="28">
        <v>265852.0</v>
      </c>
      <c r="K674" s="29" t="s">
        <v>54</v>
      </c>
      <c r="L674" s="26"/>
      <c r="M674" s="25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ht="18.0" customHeight="1">
      <c r="A675" s="27">
        <v>391.0</v>
      </c>
      <c r="B675" s="28" t="s">
        <v>1438</v>
      </c>
      <c r="C675" s="28">
        <v>39101.0</v>
      </c>
      <c r="D675" s="28" t="s">
        <v>1441</v>
      </c>
      <c r="E675" s="28" t="s">
        <v>1442</v>
      </c>
      <c r="F675" s="28">
        <v>4.0</v>
      </c>
      <c r="G675" s="28" t="s">
        <v>44</v>
      </c>
      <c r="H675" s="28" t="s">
        <v>119</v>
      </c>
      <c r="I675" s="28" t="s">
        <v>53</v>
      </c>
      <c r="J675" s="28">
        <v>513048.0</v>
      </c>
      <c r="K675" s="29" t="s">
        <v>54</v>
      </c>
      <c r="L675" s="26"/>
      <c r="M675" s="25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ht="18.0" customHeight="1">
      <c r="A676" s="27">
        <v>391.0</v>
      </c>
      <c r="B676" s="28" t="s">
        <v>1438</v>
      </c>
      <c r="C676" s="28">
        <v>39103.0</v>
      </c>
      <c r="D676" s="28" t="s">
        <v>1443</v>
      </c>
      <c r="E676" s="28" t="s">
        <v>1444</v>
      </c>
      <c r="F676" s="28">
        <v>4.0</v>
      </c>
      <c r="G676" s="28" t="s">
        <v>44</v>
      </c>
      <c r="H676" s="28" t="s">
        <v>119</v>
      </c>
      <c r="I676" s="28" t="s">
        <v>53</v>
      </c>
      <c r="J676" s="28">
        <v>270253.0</v>
      </c>
      <c r="K676" s="29" t="s">
        <v>54</v>
      </c>
      <c r="L676" s="26"/>
      <c r="M676" s="25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ht="18.0" customHeight="1">
      <c r="A677" s="27">
        <v>396.0</v>
      </c>
      <c r="B677" s="28" t="s">
        <v>1445</v>
      </c>
      <c r="C677" s="28">
        <v>339601.0</v>
      </c>
      <c r="D677" s="28" t="s">
        <v>1446</v>
      </c>
      <c r="E677" s="28" t="s">
        <v>1447</v>
      </c>
      <c r="F677" s="28">
        <v>1.0</v>
      </c>
      <c r="G677" s="28" t="s">
        <v>41</v>
      </c>
      <c r="H677" s="28" t="s">
        <v>57</v>
      </c>
      <c r="I677" s="28" t="s">
        <v>57</v>
      </c>
      <c r="J677" s="28"/>
      <c r="K677" s="29" t="s">
        <v>58</v>
      </c>
      <c r="L677" s="26"/>
      <c r="M677" s="25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ht="18.0" customHeight="1">
      <c r="A678" s="27">
        <v>396.0</v>
      </c>
      <c r="B678" s="28" t="s">
        <v>1445</v>
      </c>
      <c r="C678" s="28">
        <v>139601.0</v>
      </c>
      <c r="D678" s="28" t="s">
        <v>1448</v>
      </c>
      <c r="E678" s="28" t="s">
        <v>1449</v>
      </c>
      <c r="F678" s="28">
        <v>3.0</v>
      </c>
      <c r="G678" s="28" t="s">
        <v>44</v>
      </c>
      <c r="H678" s="28" t="s">
        <v>119</v>
      </c>
      <c r="I678" s="28" t="s">
        <v>53</v>
      </c>
      <c r="J678" s="28">
        <v>265323.0</v>
      </c>
      <c r="K678" s="29" t="s">
        <v>54</v>
      </c>
      <c r="L678" s="26"/>
      <c r="M678" s="25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ht="18.0" customHeight="1">
      <c r="A679" s="27">
        <v>396.0</v>
      </c>
      <c r="B679" s="28" t="s">
        <v>1445</v>
      </c>
      <c r="C679" s="28">
        <v>139602.0</v>
      </c>
      <c r="D679" s="28" t="s">
        <v>1450</v>
      </c>
      <c r="E679" s="28" t="s">
        <v>1451</v>
      </c>
      <c r="F679" s="28">
        <v>3.0</v>
      </c>
      <c r="G679" s="28" t="s">
        <v>41</v>
      </c>
      <c r="H679" s="28" t="s">
        <v>57</v>
      </c>
      <c r="I679" s="28" t="s">
        <v>53</v>
      </c>
      <c r="J679" s="28">
        <v>257812.0</v>
      </c>
      <c r="K679" s="29" t="s">
        <v>58</v>
      </c>
      <c r="L679" s="30" t="s">
        <v>332</v>
      </c>
      <c r="M679" s="25" t="s">
        <v>333</v>
      </c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ht="18.0" customHeight="1">
      <c r="A680" s="27">
        <v>396.0</v>
      </c>
      <c r="B680" s="28" t="s">
        <v>1445</v>
      </c>
      <c r="C680" s="28">
        <v>139603.0</v>
      </c>
      <c r="D680" s="28" t="s">
        <v>1452</v>
      </c>
      <c r="E680" s="28" t="s">
        <v>1453</v>
      </c>
      <c r="F680" s="28">
        <v>3.0</v>
      </c>
      <c r="G680" s="28" t="s">
        <v>41</v>
      </c>
      <c r="H680" s="28" t="s">
        <v>130</v>
      </c>
      <c r="I680" s="28" t="s">
        <v>53</v>
      </c>
      <c r="J680" s="28">
        <v>265833.0</v>
      </c>
      <c r="K680" s="29" t="s">
        <v>58</v>
      </c>
      <c r="L680" s="26"/>
      <c r="M680" s="25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ht="18.0" customHeight="1">
      <c r="A681" s="27">
        <v>401.0</v>
      </c>
      <c r="B681" s="28" t="s">
        <v>1454</v>
      </c>
      <c r="C681" s="28">
        <v>340101.0</v>
      </c>
      <c r="D681" s="28" t="s">
        <v>1455</v>
      </c>
      <c r="E681" s="28" t="s">
        <v>1456</v>
      </c>
      <c r="F681" s="28">
        <v>1.0</v>
      </c>
      <c r="G681" s="28" t="s">
        <v>41</v>
      </c>
      <c r="H681" s="28" t="s">
        <v>52</v>
      </c>
      <c r="I681" s="28" t="s">
        <v>57</v>
      </c>
      <c r="J681" s="28"/>
      <c r="K681" s="29" t="s">
        <v>58</v>
      </c>
      <c r="L681" s="26"/>
      <c r="M681" s="25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ht="18.0" customHeight="1">
      <c r="A682" s="27">
        <v>401.0</v>
      </c>
      <c r="B682" s="28" t="s">
        <v>1454</v>
      </c>
      <c r="C682" s="28">
        <v>340102.0</v>
      </c>
      <c r="D682" s="28" t="s">
        <v>1457</v>
      </c>
      <c r="E682" s="28" t="s">
        <v>1458</v>
      </c>
      <c r="F682" s="28">
        <v>1.0</v>
      </c>
      <c r="G682" s="28" t="s">
        <v>41</v>
      </c>
      <c r="H682" s="28" t="s">
        <v>57</v>
      </c>
      <c r="I682" s="28" t="s">
        <v>57</v>
      </c>
      <c r="J682" s="28"/>
      <c r="K682" s="29" t="s">
        <v>58</v>
      </c>
      <c r="L682" s="26"/>
      <c r="M682" s="25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ht="18.0" customHeight="1">
      <c r="A683" s="27">
        <v>401.0</v>
      </c>
      <c r="B683" s="28" t="s">
        <v>1454</v>
      </c>
      <c r="C683" s="28">
        <v>340103.0</v>
      </c>
      <c r="D683" s="28" t="s">
        <v>1459</v>
      </c>
      <c r="E683" s="28" t="s">
        <v>1460</v>
      </c>
      <c r="F683" s="28">
        <v>1.0</v>
      </c>
      <c r="G683" s="28" t="s">
        <v>41</v>
      </c>
      <c r="H683" s="28" t="s">
        <v>57</v>
      </c>
      <c r="I683" s="28" t="s">
        <v>57</v>
      </c>
      <c r="J683" s="28"/>
      <c r="K683" s="29" t="s">
        <v>58</v>
      </c>
      <c r="L683" s="26"/>
      <c r="M683" s="25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ht="18.0" customHeight="1">
      <c r="A684" s="27">
        <v>401.0</v>
      </c>
      <c r="B684" s="28" t="s">
        <v>1454</v>
      </c>
      <c r="C684" s="28">
        <v>340104.0</v>
      </c>
      <c r="D684" s="28" t="s">
        <v>1461</v>
      </c>
      <c r="E684" s="28" t="s">
        <v>1462</v>
      </c>
      <c r="F684" s="28">
        <v>1.0</v>
      </c>
      <c r="G684" s="28" t="s">
        <v>41</v>
      </c>
      <c r="H684" s="28" t="s">
        <v>57</v>
      </c>
      <c r="I684" s="28" t="s">
        <v>57</v>
      </c>
      <c r="J684" s="28"/>
      <c r="K684" s="29" t="s">
        <v>58</v>
      </c>
      <c r="L684" s="26"/>
      <c r="M684" s="25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ht="18.0" customHeight="1">
      <c r="A685" s="27">
        <v>401.0</v>
      </c>
      <c r="B685" s="28" t="s">
        <v>1454</v>
      </c>
      <c r="C685" s="28">
        <v>340105.0</v>
      </c>
      <c r="D685" s="28" t="s">
        <v>1463</v>
      </c>
      <c r="E685" s="28" t="s">
        <v>1464</v>
      </c>
      <c r="F685" s="28">
        <v>1.0</v>
      </c>
      <c r="G685" s="28" t="s">
        <v>41</v>
      </c>
      <c r="H685" s="28" t="s">
        <v>52</v>
      </c>
      <c r="I685" s="28" t="s">
        <v>57</v>
      </c>
      <c r="J685" s="28"/>
      <c r="K685" s="29" t="s">
        <v>58</v>
      </c>
      <c r="L685" s="26"/>
      <c r="M685" s="25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ht="18.0" customHeight="1">
      <c r="A686" s="27">
        <v>401.0</v>
      </c>
      <c r="B686" s="28" t="s">
        <v>1454</v>
      </c>
      <c r="C686" s="28">
        <v>340106.0</v>
      </c>
      <c r="D686" s="28" t="s">
        <v>1465</v>
      </c>
      <c r="E686" s="28" t="s">
        <v>1466</v>
      </c>
      <c r="F686" s="28">
        <v>1.0</v>
      </c>
      <c r="G686" s="28" t="s">
        <v>41</v>
      </c>
      <c r="H686" s="28" t="s">
        <v>57</v>
      </c>
      <c r="I686" s="28" t="s">
        <v>57</v>
      </c>
      <c r="J686" s="28"/>
      <c r="K686" s="29" t="s">
        <v>58</v>
      </c>
      <c r="L686" s="26"/>
      <c r="M686" s="25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ht="18.0" customHeight="1">
      <c r="A687" s="27">
        <v>401.0</v>
      </c>
      <c r="B687" s="28" t="s">
        <v>1454</v>
      </c>
      <c r="C687" s="28">
        <v>240102.0</v>
      </c>
      <c r="D687" s="28" t="s">
        <v>1467</v>
      </c>
      <c r="E687" s="28" t="s">
        <v>1468</v>
      </c>
      <c r="F687" s="28">
        <v>2.0</v>
      </c>
      <c r="G687" s="28" t="s">
        <v>41</v>
      </c>
      <c r="H687" s="28" t="s">
        <v>130</v>
      </c>
      <c r="I687" s="28" t="s">
        <v>57</v>
      </c>
      <c r="J687" s="28"/>
      <c r="K687" s="29" t="s">
        <v>58</v>
      </c>
      <c r="L687" s="26"/>
      <c r="M687" s="25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ht="18.0" customHeight="1">
      <c r="A688" s="27">
        <v>401.0</v>
      </c>
      <c r="B688" s="28" t="s">
        <v>1454</v>
      </c>
      <c r="C688" s="28">
        <v>240109.0</v>
      </c>
      <c r="D688" s="28" t="s">
        <v>1469</v>
      </c>
      <c r="E688" s="28" t="s">
        <v>1470</v>
      </c>
      <c r="F688" s="28">
        <v>2.0</v>
      </c>
      <c r="G688" s="28" t="s">
        <v>41</v>
      </c>
      <c r="H688" s="28" t="s">
        <v>130</v>
      </c>
      <c r="I688" s="28" t="s">
        <v>53</v>
      </c>
      <c r="J688" s="28">
        <v>519059.0</v>
      </c>
      <c r="K688" s="29" t="s">
        <v>58</v>
      </c>
      <c r="L688" s="26"/>
      <c r="M688" s="25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ht="18.0" customHeight="1">
      <c r="A689" s="27">
        <v>401.0</v>
      </c>
      <c r="B689" s="28" t="s">
        <v>1454</v>
      </c>
      <c r="C689" s="28">
        <v>140102.0</v>
      </c>
      <c r="D689" s="28" t="s">
        <v>1471</v>
      </c>
      <c r="E689" s="28" t="s">
        <v>1472</v>
      </c>
      <c r="F689" s="28">
        <v>3.0</v>
      </c>
      <c r="G689" s="28" t="s">
        <v>41</v>
      </c>
      <c r="H689" s="28" t="s">
        <v>130</v>
      </c>
      <c r="I689" s="28" t="s">
        <v>57</v>
      </c>
      <c r="J689" s="28"/>
      <c r="K689" s="29" t="s">
        <v>58</v>
      </c>
      <c r="L689" s="26"/>
      <c r="M689" s="25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ht="18.0" customHeight="1">
      <c r="A690" s="27">
        <v>401.0</v>
      </c>
      <c r="B690" s="28" t="s">
        <v>1454</v>
      </c>
      <c r="C690" s="28">
        <v>140103.0</v>
      </c>
      <c r="D690" s="28" t="s">
        <v>1473</v>
      </c>
      <c r="E690" s="28" t="s">
        <v>1474</v>
      </c>
      <c r="F690" s="28">
        <v>3.0</v>
      </c>
      <c r="G690" s="28" t="s">
        <v>41</v>
      </c>
      <c r="H690" s="28" t="s">
        <v>130</v>
      </c>
      <c r="I690" s="28" t="s">
        <v>53</v>
      </c>
      <c r="J690" s="28">
        <v>259777.0</v>
      </c>
      <c r="K690" s="29" t="s">
        <v>58</v>
      </c>
      <c r="L690" s="26"/>
      <c r="M690" s="25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ht="18.0" customHeight="1">
      <c r="A691" s="27">
        <v>401.0</v>
      </c>
      <c r="B691" s="28" t="s">
        <v>1454</v>
      </c>
      <c r="C691" s="28">
        <v>140105.0</v>
      </c>
      <c r="D691" s="28" t="s">
        <v>1475</v>
      </c>
      <c r="E691" s="28" t="s">
        <v>1476</v>
      </c>
      <c r="F691" s="28">
        <v>3.0</v>
      </c>
      <c r="G691" s="28" t="s">
        <v>41</v>
      </c>
      <c r="H691" s="28" t="s">
        <v>57</v>
      </c>
      <c r="I691" s="28" t="s">
        <v>57</v>
      </c>
      <c r="J691" s="28"/>
      <c r="K691" s="29" t="s">
        <v>58</v>
      </c>
      <c r="L691" s="26"/>
      <c r="M691" s="25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ht="18.0" customHeight="1">
      <c r="A692" s="27">
        <v>401.0</v>
      </c>
      <c r="B692" s="28" t="s">
        <v>1454</v>
      </c>
      <c r="C692" s="28">
        <v>140106.0</v>
      </c>
      <c r="D692" s="28" t="s">
        <v>1477</v>
      </c>
      <c r="E692" s="28" t="s">
        <v>1478</v>
      </c>
      <c r="F692" s="28">
        <v>3.0</v>
      </c>
      <c r="G692" s="28" t="s">
        <v>41</v>
      </c>
      <c r="H692" s="28" t="s">
        <v>130</v>
      </c>
      <c r="I692" s="28" t="s">
        <v>53</v>
      </c>
      <c r="J692" s="28">
        <v>259760.0</v>
      </c>
      <c r="K692" s="29" t="s">
        <v>58</v>
      </c>
      <c r="L692" s="26"/>
      <c r="M692" s="25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ht="18.0" customHeight="1">
      <c r="A693" s="27">
        <v>401.0</v>
      </c>
      <c r="B693" s="28" t="s">
        <v>1454</v>
      </c>
      <c r="C693" s="28">
        <v>140108.0</v>
      </c>
      <c r="D693" s="28" t="s">
        <v>1479</v>
      </c>
      <c r="E693" s="28" t="s">
        <v>1480</v>
      </c>
      <c r="F693" s="28">
        <v>3.0</v>
      </c>
      <c r="G693" s="28" t="s">
        <v>41</v>
      </c>
      <c r="H693" s="28" t="s">
        <v>130</v>
      </c>
      <c r="I693" s="28" t="s">
        <v>53</v>
      </c>
      <c r="J693" s="28">
        <v>519057.0</v>
      </c>
      <c r="K693" s="29" t="s">
        <v>58</v>
      </c>
      <c r="L693" s="26"/>
      <c r="M693" s="25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ht="18.0" customHeight="1">
      <c r="A694" s="27">
        <v>401.0</v>
      </c>
      <c r="B694" s="28" t="s">
        <v>1454</v>
      </c>
      <c r="C694" s="28">
        <v>40102.0</v>
      </c>
      <c r="D694" s="28" t="s">
        <v>1481</v>
      </c>
      <c r="E694" s="28" t="s">
        <v>1482</v>
      </c>
      <c r="F694" s="28">
        <v>4.0</v>
      </c>
      <c r="G694" s="28" t="s">
        <v>41</v>
      </c>
      <c r="H694" s="28" t="s">
        <v>57</v>
      </c>
      <c r="I694" s="28" t="s">
        <v>57</v>
      </c>
      <c r="J694" s="28"/>
      <c r="K694" s="29" t="s">
        <v>58</v>
      </c>
      <c r="L694" s="26"/>
      <c r="M694" s="25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ht="18.0" customHeight="1">
      <c r="A695" s="27">
        <v>401.0</v>
      </c>
      <c r="B695" s="28" t="s">
        <v>1454</v>
      </c>
      <c r="C695" s="28">
        <v>40103.0</v>
      </c>
      <c r="D695" s="28" t="s">
        <v>1483</v>
      </c>
      <c r="E695" s="28" t="s">
        <v>1484</v>
      </c>
      <c r="F695" s="28">
        <v>4.0</v>
      </c>
      <c r="G695" s="28" t="s">
        <v>41</v>
      </c>
      <c r="H695" s="28" t="s">
        <v>130</v>
      </c>
      <c r="I695" s="28" t="s">
        <v>53</v>
      </c>
      <c r="J695" s="28">
        <v>259776.0</v>
      </c>
      <c r="K695" s="29" t="s">
        <v>58</v>
      </c>
      <c r="L695" s="26"/>
      <c r="M695" s="25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ht="18.0" customHeight="1">
      <c r="A696" s="27">
        <v>402.0</v>
      </c>
      <c r="B696" s="28" t="s">
        <v>1485</v>
      </c>
      <c r="C696" s="28">
        <v>340201.0</v>
      </c>
      <c r="D696" s="28" t="s">
        <v>1486</v>
      </c>
      <c r="E696" s="28" t="s">
        <v>1487</v>
      </c>
      <c r="F696" s="28">
        <v>1.0</v>
      </c>
      <c r="G696" s="28" t="s">
        <v>41</v>
      </c>
      <c r="H696" s="28" t="s">
        <v>57</v>
      </c>
      <c r="I696" s="28" t="s">
        <v>57</v>
      </c>
      <c r="J696" s="28"/>
      <c r="K696" s="29" t="s">
        <v>58</v>
      </c>
      <c r="L696" s="26"/>
      <c r="M696" s="25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ht="18.0" customHeight="1">
      <c r="A697" s="27">
        <v>402.0</v>
      </c>
      <c r="B697" s="28" t="s">
        <v>1485</v>
      </c>
      <c r="C697" s="28">
        <v>340202.0</v>
      </c>
      <c r="D697" s="28" t="s">
        <v>1488</v>
      </c>
      <c r="E697" s="28" t="s">
        <v>1489</v>
      </c>
      <c r="F697" s="28">
        <v>1.0</v>
      </c>
      <c r="G697" s="28" t="s">
        <v>41</v>
      </c>
      <c r="H697" s="28" t="s">
        <v>57</v>
      </c>
      <c r="I697" s="28" t="s">
        <v>57</v>
      </c>
      <c r="J697" s="28"/>
      <c r="K697" s="29" t="s">
        <v>58</v>
      </c>
      <c r="L697" s="26"/>
      <c r="M697" s="25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ht="18.0" customHeight="1">
      <c r="A698" s="27">
        <v>402.0</v>
      </c>
      <c r="B698" s="28" t="s">
        <v>1485</v>
      </c>
      <c r="C698" s="28">
        <v>340203.0</v>
      </c>
      <c r="D698" s="28" t="s">
        <v>1490</v>
      </c>
      <c r="E698" s="28" t="s">
        <v>1491</v>
      </c>
      <c r="F698" s="28">
        <v>1.0</v>
      </c>
      <c r="G698" s="28" t="s">
        <v>41</v>
      </c>
      <c r="H698" s="28" t="s">
        <v>52</v>
      </c>
      <c r="I698" s="28" t="s">
        <v>53</v>
      </c>
      <c r="J698" s="28">
        <v>530306.0</v>
      </c>
      <c r="K698" s="29" t="s">
        <v>58</v>
      </c>
      <c r="L698" s="26"/>
      <c r="M698" s="25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ht="18.0" customHeight="1">
      <c r="A699" s="27">
        <v>402.0</v>
      </c>
      <c r="B699" s="28" t="s">
        <v>1485</v>
      </c>
      <c r="C699" s="28">
        <v>340204.0</v>
      </c>
      <c r="D699" s="28" t="s">
        <v>1492</v>
      </c>
      <c r="E699" s="28" t="s">
        <v>1493</v>
      </c>
      <c r="F699" s="28">
        <v>1.0</v>
      </c>
      <c r="G699" s="28" t="s">
        <v>41</v>
      </c>
      <c r="H699" s="28" t="s">
        <v>57</v>
      </c>
      <c r="I699" s="28" t="s">
        <v>57</v>
      </c>
      <c r="J699" s="28"/>
      <c r="K699" s="29" t="s">
        <v>58</v>
      </c>
      <c r="L699" s="26"/>
      <c r="M699" s="25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ht="18.0" customHeight="1">
      <c r="A700" s="27">
        <v>402.0</v>
      </c>
      <c r="B700" s="28" t="s">
        <v>1485</v>
      </c>
      <c r="C700" s="28">
        <v>340205.0</v>
      </c>
      <c r="D700" s="28" t="s">
        <v>1494</v>
      </c>
      <c r="E700" s="28" t="s">
        <v>1495</v>
      </c>
      <c r="F700" s="28">
        <v>1.0</v>
      </c>
      <c r="G700" s="28" t="s">
        <v>41</v>
      </c>
      <c r="H700" s="28" t="s">
        <v>57</v>
      </c>
      <c r="I700" s="28" t="s">
        <v>57</v>
      </c>
      <c r="J700" s="28"/>
      <c r="K700" s="29" t="s">
        <v>58</v>
      </c>
      <c r="L700" s="26"/>
      <c r="M700" s="25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ht="18.0" customHeight="1">
      <c r="A701" s="27">
        <v>402.0</v>
      </c>
      <c r="B701" s="28" t="s">
        <v>1485</v>
      </c>
      <c r="C701" s="28">
        <v>340206.0</v>
      </c>
      <c r="D701" s="28" t="s">
        <v>1496</v>
      </c>
      <c r="E701" s="28" t="s">
        <v>1497</v>
      </c>
      <c r="F701" s="28">
        <v>1.0</v>
      </c>
      <c r="G701" s="28" t="s">
        <v>41</v>
      </c>
      <c r="H701" s="28" t="s">
        <v>52</v>
      </c>
      <c r="I701" s="28" t="s">
        <v>53</v>
      </c>
      <c r="J701" s="28">
        <v>530308.0</v>
      </c>
      <c r="K701" s="29" t="s">
        <v>58</v>
      </c>
      <c r="L701" s="26"/>
      <c r="M701" s="25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ht="18.0" customHeight="1">
      <c r="A702" s="27">
        <v>402.0</v>
      </c>
      <c r="B702" s="28" t="s">
        <v>1485</v>
      </c>
      <c r="C702" s="28">
        <v>340207.0</v>
      </c>
      <c r="D702" s="28" t="s">
        <v>1498</v>
      </c>
      <c r="E702" s="28" t="s">
        <v>1499</v>
      </c>
      <c r="F702" s="28">
        <v>1.0</v>
      </c>
      <c r="G702" s="28" t="s">
        <v>41</v>
      </c>
      <c r="H702" s="28" t="s">
        <v>57</v>
      </c>
      <c r="I702" s="28" t="s">
        <v>57</v>
      </c>
      <c r="J702" s="28"/>
      <c r="K702" s="29" t="s">
        <v>58</v>
      </c>
      <c r="L702" s="26"/>
      <c r="M702" s="25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ht="18.0" customHeight="1">
      <c r="A703" s="27">
        <v>402.0</v>
      </c>
      <c r="B703" s="28" t="s">
        <v>1485</v>
      </c>
      <c r="C703" s="28">
        <v>340208.0</v>
      </c>
      <c r="D703" s="28" t="s">
        <v>1500</v>
      </c>
      <c r="E703" s="28" t="s">
        <v>1501</v>
      </c>
      <c r="F703" s="28">
        <v>1.0</v>
      </c>
      <c r="G703" s="28" t="s">
        <v>41</v>
      </c>
      <c r="H703" s="28" t="s">
        <v>57</v>
      </c>
      <c r="I703" s="28" t="s">
        <v>57</v>
      </c>
      <c r="J703" s="28"/>
      <c r="K703" s="29" t="s">
        <v>58</v>
      </c>
      <c r="L703" s="26"/>
      <c r="M703" s="25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ht="18.0" customHeight="1">
      <c r="A704" s="27">
        <v>402.0</v>
      </c>
      <c r="B704" s="28" t="s">
        <v>1485</v>
      </c>
      <c r="C704" s="28">
        <v>340209.0</v>
      </c>
      <c r="D704" s="28" t="s">
        <v>1502</v>
      </c>
      <c r="E704" s="28" t="s">
        <v>1503</v>
      </c>
      <c r="F704" s="28">
        <v>1.0</v>
      </c>
      <c r="G704" s="28" t="s">
        <v>41</v>
      </c>
      <c r="H704" s="28" t="s">
        <v>57</v>
      </c>
      <c r="I704" s="28" t="s">
        <v>57</v>
      </c>
      <c r="J704" s="28"/>
      <c r="K704" s="29" t="s">
        <v>58</v>
      </c>
      <c r="L704" s="26"/>
      <c r="M704" s="25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ht="18.0" customHeight="1">
      <c r="A705" s="27">
        <v>402.0</v>
      </c>
      <c r="B705" s="28" t="s">
        <v>1485</v>
      </c>
      <c r="C705" s="28">
        <v>340210.0</v>
      </c>
      <c r="D705" s="28" t="s">
        <v>1504</v>
      </c>
      <c r="E705" s="28" t="s">
        <v>1505</v>
      </c>
      <c r="F705" s="28">
        <v>1.0</v>
      </c>
      <c r="G705" s="28" t="s">
        <v>41</v>
      </c>
      <c r="H705" s="28" t="s">
        <v>57</v>
      </c>
      <c r="I705" s="28" t="s">
        <v>57</v>
      </c>
      <c r="J705" s="28"/>
      <c r="K705" s="29" t="s">
        <v>58</v>
      </c>
      <c r="L705" s="26"/>
      <c r="M705" s="25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ht="18.0" customHeight="1">
      <c r="A706" s="27">
        <v>402.0</v>
      </c>
      <c r="B706" s="28" t="s">
        <v>1485</v>
      </c>
      <c r="C706" s="28">
        <v>340211.0</v>
      </c>
      <c r="D706" s="28" t="s">
        <v>1506</v>
      </c>
      <c r="E706" s="28" t="s">
        <v>1507</v>
      </c>
      <c r="F706" s="28">
        <v>1.0</v>
      </c>
      <c r="G706" s="28" t="s">
        <v>41</v>
      </c>
      <c r="H706" s="28" t="s">
        <v>57</v>
      </c>
      <c r="I706" s="28" t="s">
        <v>57</v>
      </c>
      <c r="J706" s="28"/>
      <c r="K706" s="29" t="s">
        <v>58</v>
      </c>
      <c r="L706" s="26"/>
      <c r="M706" s="25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ht="18.0" customHeight="1">
      <c r="A707" s="27">
        <v>402.0</v>
      </c>
      <c r="B707" s="28" t="s">
        <v>1485</v>
      </c>
      <c r="C707" s="28">
        <v>340212.0</v>
      </c>
      <c r="D707" s="28" t="s">
        <v>1508</v>
      </c>
      <c r="E707" s="28" t="s">
        <v>1509</v>
      </c>
      <c r="F707" s="28">
        <v>1.0</v>
      </c>
      <c r="G707" s="28" t="s">
        <v>41</v>
      </c>
      <c r="H707" s="28" t="s">
        <v>57</v>
      </c>
      <c r="I707" s="28" t="s">
        <v>57</v>
      </c>
      <c r="J707" s="28"/>
      <c r="K707" s="29" t="s">
        <v>58</v>
      </c>
      <c r="L707" s="26"/>
      <c r="M707" s="25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ht="18.0" customHeight="1">
      <c r="A708" s="27">
        <v>402.0</v>
      </c>
      <c r="B708" s="28" t="s">
        <v>1485</v>
      </c>
      <c r="C708" s="28">
        <v>340213.0</v>
      </c>
      <c r="D708" s="28" t="s">
        <v>1510</v>
      </c>
      <c r="E708" s="28" t="s">
        <v>1511</v>
      </c>
      <c r="F708" s="28">
        <v>1.0</v>
      </c>
      <c r="G708" s="28" t="s">
        <v>41</v>
      </c>
      <c r="H708" s="28" t="s">
        <v>57</v>
      </c>
      <c r="I708" s="28" t="s">
        <v>57</v>
      </c>
      <c r="J708" s="28"/>
      <c r="K708" s="29" t="s">
        <v>58</v>
      </c>
      <c r="L708" s="26"/>
      <c r="M708" s="25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ht="18.0" customHeight="1">
      <c r="A709" s="27">
        <v>402.0</v>
      </c>
      <c r="B709" s="28" t="s">
        <v>1485</v>
      </c>
      <c r="C709" s="28">
        <v>340214.0</v>
      </c>
      <c r="D709" s="28" t="s">
        <v>1512</v>
      </c>
      <c r="E709" s="28" t="s">
        <v>1513</v>
      </c>
      <c r="F709" s="28">
        <v>1.0</v>
      </c>
      <c r="G709" s="28" t="s">
        <v>41</v>
      </c>
      <c r="H709" s="28" t="s">
        <v>57</v>
      </c>
      <c r="I709" s="28" t="s">
        <v>57</v>
      </c>
      <c r="J709" s="28"/>
      <c r="K709" s="29" t="s">
        <v>58</v>
      </c>
      <c r="L709" s="26"/>
      <c r="M709" s="25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ht="18.0" customHeight="1">
      <c r="A710" s="27">
        <v>402.0</v>
      </c>
      <c r="B710" s="28" t="s">
        <v>1485</v>
      </c>
      <c r="C710" s="28">
        <v>340215.0</v>
      </c>
      <c r="D710" s="28" t="s">
        <v>1514</v>
      </c>
      <c r="E710" s="28" t="s">
        <v>1515</v>
      </c>
      <c r="F710" s="28">
        <v>1.0</v>
      </c>
      <c r="G710" s="28" t="s">
        <v>41</v>
      </c>
      <c r="H710" s="28" t="s">
        <v>52</v>
      </c>
      <c r="I710" s="28" t="s">
        <v>53</v>
      </c>
      <c r="J710" s="28">
        <v>530319.0</v>
      </c>
      <c r="K710" s="29" t="s">
        <v>54</v>
      </c>
      <c r="L710" s="26"/>
      <c r="M710" s="25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ht="18.0" customHeight="1">
      <c r="A711" s="27">
        <v>402.0</v>
      </c>
      <c r="B711" s="28" t="s">
        <v>1485</v>
      </c>
      <c r="C711" s="28">
        <v>340216.0</v>
      </c>
      <c r="D711" s="28" t="s">
        <v>1516</v>
      </c>
      <c r="E711" s="28" t="s">
        <v>1517</v>
      </c>
      <c r="F711" s="28">
        <v>1.0</v>
      </c>
      <c r="G711" s="28" t="s">
        <v>41</v>
      </c>
      <c r="H711" s="28" t="s">
        <v>57</v>
      </c>
      <c r="I711" s="28" t="s">
        <v>57</v>
      </c>
      <c r="J711" s="28"/>
      <c r="K711" s="29" t="s">
        <v>58</v>
      </c>
      <c r="L711" s="26"/>
      <c r="M711" s="25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ht="18.0" customHeight="1">
      <c r="A712" s="27">
        <v>402.0</v>
      </c>
      <c r="B712" s="28" t="s">
        <v>1485</v>
      </c>
      <c r="C712" s="28">
        <v>240201.0</v>
      </c>
      <c r="D712" s="28" t="s">
        <v>1518</v>
      </c>
      <c r="E712" s="28" t="s">
        <v>1519</v>
      </c>
      <c r="F712" s="28">
        <v>2.0</v>
      </c>
      <c r="G712" s="28" t="s">
        <v>41</v>
      </c>
      <c r="H712" s="28" t="s">
        <v>130</v>
      </c>
      <c r="I712" s="28" t="s">
        <v>53</v>
      </c>
      <c r="J712" s="28">
        <v>520690.0</v>
      </c>
      <c r="K712" s="29" t="s">
        <v>54</v>
      </c>
      <c r="L712" s="26"/>
      <c r="M712" s="25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ht="18.0" customHeight="1">
      <c r="A713" s="27">
        <v>402.0</v>
      </c>
      <c r="B713" s="28" t="s">
        <v>1485</v>
      </c>
      <c r="C713" s="28">
        <v>240202.0</v>
      </c>
      <c r="D713" s="28" t="s">
        <v>1520</v>
      </c>
      <c r="E713" s="28" t="s">
        <v>1521</v>
      </c>
      <c r="F713" s="28">
        <v>2.0</v>
      </c>
      <c r="G713" s="28" t="s">
        <v>41</v>
      </c>
      <c r="H713" s="28" t="s">
        <v>130</v>
      </c>
      <c r="I713" s="28" t="s">
        <v>57</v>
      </c>
      <c r="J713" s="28">
        <v>520683.0</v>
      </c>
      <c r="K713" s="29" t="s">
        <v>58</v>
      </c>
      <c r="L713" s="33">
        <v>45367.0</v>
      </c>
      <c r="M713" s="25" t="s">
        <v>333</v>
      </c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ht="18.0" customHeight="1">
      <c r="A714" s="27">
        <v>402.0</v>
      </c>
      <c r="B714" s="28" t="s">
        <v>1485</v>
      </c>
      <c r="C714" s="28">
        <v>240203.0</v>
      </c>
      <c r="D714" s="28" t="s">
        <v>1522</v>
      </c>
      <c r="E714" s="28" t="s">
        <v>1523</v>
      </c>
      <c r="F714" s="28">
        <v>2.0</v>
      </c>
      <c r="G714" s="28" t="s">
        <v>41</v>
      </c>
      <c r="H714" s="28" t="s">
        <v>57</v>
      </c>
      <c r="I714" s="28" t="s">
        <v>57</v>
      </c>
      <c r="J714" s="28"/>
      <c r="K714" s="29" t="s">
        <v>58</v>
      </c>
      <c r="L714" s="26"/>
      <c r="M714" s="25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ht="18.0" customHeight="1">
      <c r="A715" s="27">
        <v>402.0</v>
      </c>
      <c r="B715" s="28" t="s">
        <v>1485</v>
      </c>
      <c r="C715" s="28">
        <v>240204.0</v>
      </c>
      <c r="D715" s="28" t="s">
        <v>1524</v>
      </c>
      <c r="E715" s="28" t="s">
        <v>1525</v>
      </c>
      <c r="F715" s="28">
        <v>2.0</v>
      </c>
      <c r="G715" s="28" t="s">
        <v>41</v>
      </c>
      <c r="H715" s="28" t="s">
        <v>130</v>
      </c>
      <c r="I715" s="28" t="s">
        <v>53</v>
      </c>
      <c r="J715" s="28">
        <v>520680.0</v>
      </c>
      <c r="K715" s="29" t="s">
        <v>54</v>
      </c>
      <c r="L715" s="26"/>
      <c r="M715" s="25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ht="18.0" customHeight="1">
      <c r="A716" s="27">
        <v>402.0</v>
      </c>
      <c r="B716" s="28" t="s">
        <v>1485</v>
      </c>
      <c r="C716" s="28">
        <v>240205.0</v>
      </c>
      <c r="D716" s="28" t="s">
        <v>1526</v>
      </c>
      <c r="E716" s="28" t="s">
        <v>1527</v>
      </c>
      <c r="F716" s="28">
        <v>2.0</v>
      </c>
      <c r="G716" s="28" t="s">
        <v>41</v>
      </c>
      <c r="H716" s="28" t="s">
        <v>57</v>
      </c>
      <c r="I716" s="28" t="s">
        <v>57</v>
      </c>
      <c r="J716" s="28"/>
      <c r="K716" s="29" t="s">
        <v>58</v>
      </c>
      <c r="L716" s="26"/>
      <c r="M716" s="25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ht="18.0" customHeight="1">
      <c r="A717" s="27">
        <v>402.0</v>
      </c>
      <c r="B717" s="28" t="s">
        <v>1485</v>
      </c>
      <c r="C717" s="28">
        <v>240207.0</v>
      </c>
      <c r="D717" s="28" t="s">
        <v>1528</v>
      </c>
      <c r="E717" s="28" t="s">
        <v>1529</v>
      </c>
      <c r="F717" s="28">
        <v>2.0</v>
      </c>
      <c r="G717" s="28" t="s">
        <v>41</v>
      </c>
      <c r="H717" s="28" t="s">
        <v>57</v>
      </c>
      <c r="I717" s="28" t="s">
        <v>57</v>
      </c>
      <c r="J717" s="28"/>
      <c r="K717" s="29" t="s">
        <v>58</v>
      </c>
      <c r="L717" s="26"/>
      <c r="M717" s="25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ht="18.0" customHeight="1">
      <c r="A718" s="27">
        <v>402.0</v>
      </c>
      <c r="B718" s="28" t="s">
        <v>1485</v>
      </c>
      <c r="C718" s="28">
        <v>240210.0</v>
      </c>
      <c r="D718" s="28" t="s">
        <v>1530</v>
      </c>
      <c r="E718" s="28" t="s">
        <v>1531</v>
      </c>
      <c r="F718" s="28">
        <v>2.0</v>
      </c>
      <c r="G718" s="28" t="s">
        <v>41</v>
      </c>
      <c r="H718" s="28" t="s">
        <v>57</v>
      </c>
      <c r="I718" s="28" t="s">
        <v>57</v>
      </c>
      <c r="J718" s="28"/>
      <c r="K718" s="29" t="s">
        <v>58</v>
      </c>
      <c r="L718" s="26"/>
      <c r="M718" s="25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ht="18.0" customHeight="1">
      <c r="A719" s="27">
        <v>402.0</v>
      </c>
      <c r="B719" s="28" t="s">
        <v>1485</v>
      </c>
      <c r="C719" s="28">
        <v>240211.0</v>
      </c>
      <c r="D719" s="28" t="s">
        <v>1532</v>
      </c>
      <c r="E719" s="28" t="s">
        <v>1533</v>
      </c>
      <c r="F719" s="28">
        <v>2.0</v>
      </c>
      <c r="G719" s="28" t="s">
        <v>41</v>
      </c>
      <c r="H719" s="28" t="s">
        <v>57</v>
      </c>
      <c r="I719" s="28" t="s">
        <v>57</v>
      </c>
      <c r="J719" s="28"/>
      <c r="K719" s="29" t="s">
        <v>58</v>
      </c>
      <c r="L719" s="26"/>
      <c r="M719" s="25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ht="18.0" customHeight="1">
      <c r="A720" s="27">
        <v>402.0</v>
      </c>
      <c r="B720" s="28" t="s">
        <v>1485</v>
      </c>
      <c r="C720" s="28">
        <v>240213.0</v>
      </c>
      <c r="D720" s="28" t="s">
        <v>1534</v>
      </c>
      <c r="E720" s="28" t="s">
        <v>1535</v>
      </c>
      <c r="F720" s="28">
        <v>2.0</v>
      </c>
      <c r="G720" s="28" t="s">
        <v>41</v>
      </c>
      <c r="H720" s="28" t="s">
        <v>57</v>
      </c>
      <c r="I720" s="28" t="s">
        <v>57</v>
      </c>
      <c r="J720" s="28"/>
      <c r="K720" s="29" t="s">
        <v>58</v>
      </c>
      <c r="L720" s="26"/>
      <c r="M720" s="25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ht="18.0" customHeight="1">
      <c r="A721" s="27">
        <v>402.0</v>
      </c>
      <c r="B721" s="28" t="s">
        <v>1485</v>
      </c>
      <c r="C721" s="28">
        <v>240214.0</v>
      </c>
      <c r="D721" s="28" t="s">
        <v>1536</v>
      </c>
      <c r="E721" s="28" t="s">
        <v>1537</v>
      </c>
      <c r="F721" s="28">
        <v>2.0</v>
      </c>
      <c r="G721" s="28" t="s">
        <v>41</v>
      </c>
      <c r="H721" s="28" t="s">
        <v>57</v>
      </c>
      <c r="I721" s="28" t="s">
        <v>57</v>
      </c>
      <c r="J721" s="28"/>
      <c r="K721" s="29" t="s">
        <v>58</v>
      </c>
      <c r="L721" s="26"/>
      <c r="M721" s="25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ht="18.0" customHeight="1">
      <c r="A722" s="27">
        <v>402.0</v>
      </c>
      <c r="B722" s="28" t="s">
        <v>1485</v>
      </c>
      <c r="C722" s="28">
        <v>240215.0</v>
      </c>
      <c r="D722" s="28" t="s">
        <v>1538</v>
      </c>
      <c r="E722" s="28" t="s">
        <v>1539</v>
      </c>
      <c r="F722" s="28">
        <v>2.0</v>
      </c>
      <c r="G722" s="28" t="s">
        <v>41</v>
      </c>
      <c r="H722" s="28" t="s">
        <v>57</v>
      </c>
      <c r="I722" s="28" t="s">
        <v>57</v>
      </c>
      <c r="J722" s="28"/>
      <c r="K722" s="29" t="s">
        <v>58</v>
      </c>
      <c r="L722" s="26"/>
      <c r="M722" s="25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ht="18.0" customHeight="1">
      <c r="A723" s="27">
        <v>402.0</v>
      </c>
      <c r="B723" s="28" t="s">
        <v>1485</v>
      </c>
      <c r="C723" s="28">
        <v>240216.0</v>
      </c>
      <c r="D723" s="28" t="s">
        <v>1540</v>
      </c>
      <c r="E723" s="28" t="s">
        <v>1541</v>
      </c>
      <c r="F723" s="28">
        <v>2.0</v>
      </c>
      <c r="G723" s="28" t="s">
        <v>44</v>
      </c>
      <c r="H723" s="28" t="s">
        <v>119</v>
      </c>
      <c r="I723" s="28" t="s">
        <v>53</v>
      </c>
      <c r="J723" s="28">
        <v>520682.0</v>
      </c>
      <c r="K723" s="29" t="s">
        <v>54</v>
      </c>
      <c r="L723" s="26"/>
      <c r="M723" s="25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ht="18.0" customHeight="1">
      <c r="A724" s="27">
        <v>402.0</v>
      </c>
      <c r="B724" s="28" t="s">
        <v>1485</v>
      </c>
      <c r="C724" s="28">
        <v>240217.0</v>
      </c>
      <c r="D724" s="28" t="s">
        <v>1542</v>
      </c>
      <c r="E724" s="28" t="s">
        <v>1543</v>
      </c>
      <c r="F724" s="28">
        <v>2.0</v>
      </c>
      <c r="G724" s="28" t="s">
        <v>41</v>
      </c>
      <c r="H724" s="28" t="s">
        <v>57</v>
      </c>
      <c r="I724" s="28" t="s">
        <v>57</v>
      </c>
      <c r="J724" s="28"/>
      <c r="K724" s="29" t="s">
        <v>58</v>
      </c>
      <c r="L724" s="26"/>
      <c r="M724" s="25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ht="18.0" customHeight="1">
      <c r="A725" s="27">
        <v>402.0</v>
      </c>
      <c r="B725" s="28" t="s">
        <v>1485</v>
      </c>
      <c r="C725" s="28">
        <v>240219.0</v>
      </c>
      <c r="D725" s="28" t="s">
        <v>1544</v>
      </c>
      <c r="E725" s="28" t="s">
        <v>1545</v>
      </c>
      <c r="F725" s="28">
        <v>2.0</v>
      </c>
      <c r="G725" s="28" t="s">
        <v>41</v>
      </c>
      <c r="H725" s="28" t="s">
        <v>57</v>
      </c>
      <c r="I725" s="28" t="s">
        <v>57</v>
      </c>
      <c r="J725" s="28"/>
      <c r="K725" s="29" t="s">
        <v>58</v>
      </c>
      <c r="L725" s="26"/>
      <c r="M725" s="25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ht="18.0" customHeight="1">
      <c r="A726" s="27">
        <v>402.0</v>
      </c>
      <c r="B726" s="28" t="s">
        <v>1485</v>
      </c>
      <c r="C726" s="28">
        <v>240221.0</v>
      </c>
      <c r="D726" s="28" t="s">
        <v>1546</v>
      </c>
      <c r="E726" s="28" t="s">
        <v>1547</v>
      </c>
      <c r="F726" s="28">
        <v>2.0</v>
      </c>
      <c r="G726" s="28" t="s">
        <v>41</v>
      </c>
      <c r="H726" s="28" t="s">
        <v>57</v>
      </c>
      <c r="I726" s="28" t="s">
        <v>57</v>
      </c>
      <c r="J726" s="28"/>
      <c r="K726" s="29" t="s">
        <v>58</v>
      </c>
      <c r="L726" s="26"/>
      <c r="M726" s="25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ht="18.0" customHeight="1">
      <c r="A727" s="27">
        <v>402.0</v>
      </c>
      <c r="B727" s="28" t="s">
        <v>1485</v>
      </c>
      <c r="C727" s="28">
        <v>40202.0</v>
      </c>
      <c r="D727" s="28" t="s">
        <v>1548</v>
      </c>
      <c r="E727" s="28" t="s">
        <v>1549</v>
      </c>
      <c r="F727" s="28">
        <v>3.0</v>
      </c>
      <c r="G727" s="28" t="s">
        <v>41</v>
      </c>
      <c r="H727" s="28" t="s">
        <v>130</v>
      </c>
      <c r="I727" s="28" t="s">
        <v>53</v>
      </c>
      <c r="J727" s="28">
        <v>523998.0</v>
      </c>
      <c r="K727" s="29" t="s">
        <v>58</v>
      </c>
      <c r="L727" s="26"/>
      <c r="M727" s="25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ht="18.0" customHeight="1">
      <c r="A728" s="27">
        <v>402.0</v>
      </c>
      <c r="B728" s="28" t="s">
        <v>1485</v>
      </c>
      <c r="C728" s="28">
        <v>40203.0</v>
      </c>
      <c r="D728" s="28" t="s">
        <v>1550</v>
      </c>
      <c r="E728" s="28" t="s">
        <v>1551</v>
      </c>
      <c r="F728" s="28">
        <v>3.0</v>
      </c>
      <c r="G728" s="28" t="s">
        <v>41</v>
      </c>
      <c r="H728" s="28" t="s">
        <v>130</v>
      </c>
      <c r="I728" s="28" t="s">
        <v>53</v>
      </c>
      <c r="J728" s="28"/>
      <c r="K728" s="29" t="s">
        <v>54</v>
      </c>
      <c r="L728" s="26"/>
      <c r="M728" s="25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ht="18.0" customHeight="1">
      <c r="A729" s="27">
        <v>402.0</v>
      </c>
      <c r="B729" s="28" t="s">
        <v>1485</v>
      </c>
      <c r="C729" s="28">
        <v>40204.0</v>
      </c>
      <c r="D729" s="28" t="s">
        <v>1552</v>
      </c>
      <c r="E729" s="28" t="s">
        <v>1553</v>
      </c>
      <c r="F729" s="28">
        <v>3.0</v>
      </c>
      <c r="G729" s="28" t="s">
        <v>41</v>
      </c>
      <c r="H729" s="28" t="s">
        <v>130</v>
      </c>
      <c r="I729" s="28" t="s">
        <v>53</v>
      </c>
      <c r="J729" s="28"/>
      <c r="K729" s="29" t="s">
        <v>58</v>
      </c>
      <c r="L729" s="26"/>
      <c r="M729" s="25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ht="18.0" customHeight="1">
      <c r="A730" s="27">
        <v>402.0</v>
      </c>
      <c r="B730" s="28" t="s">
        <v>1485</v>
      </c>
      <c r="C730" s="28">
        <v>40207.0</v>
      </c>
      <c r="D730" s="28" t="s">
        <v>1554</v>
      </c>
      <c r="E730" s="28" t="s">
        <v>1555</v>
      </c>
      <c r="F730" s="28">
        <v>3.0</v>
      </c>
      <c r="G730" s="28" t="s">
        <v>41</v>
      </c>
      <c r="H730" s="28" t="s">
        <v>130</v>
      </c>
      <c r="I730" s="28" t="s">
        <v>53</v>
      </c>
      <c r="J730" s="28">
        <v>524344.0</v>
      </c>
      <c r="K730" s="29" t="s">
        <v>54</v>
      </c>
      <c r="L730" s="26"/>
      <c r="M730" s="25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ht="18.0" customHeight="1">
      <c r="A731" s="27">
        <v>402.0</v>
      </c>
      <c r="B731" s="28" t="s">
        <v>1485</v>
      </c>
      <c r="C731" s="28">
        <v>40208.0</v>
      </c>
      <c r="D731" s="28" t="s">
        <v>1556</v>
      </c>
      <c r="E731" s="28" t="s">
        <v>1557</v>
      </c>
      <c r="F731" s="28">
        <v>3.0</v>
      </c>
      <c r="G731" s="28" t="s">
        <v>41</v>
      </c>
      <c r="H731" s="28" t="s">
        <v>130</v>
      </c>
      <c r="I731" s="28" t="s">
        <v>53</v>
      </c>
      <c r="J731" s="28">
        <v>524343.0</v>
      </c>
      <c r="K731" s="29" t="s">
        <v>54</v>
      </c>
      <c r="L731" s="26"/>
      <c r="M731" s="25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ht="18.0" customHeight="1">
      <c r="A732" s="27">
        <v>402.0</v>
      </c>
      <c r="B732" s="28" t="s">
        <v>1485</v>
      </c>
      <c r="C732" s="28">
        <v>40209.0</v>
      </c>
      <c r="D732" s="28" t="s">
        <v>1558</v>
      </c>
      <c r="E732" s="28" t="s">
        <v>1559</v>
      </c>
      <c r="F732" s="28">
        <v>3.0</v>
      </c>
      <c r="G732" s="28" t="s">
        <v>41</v>
      </c>
      <c r="H732" s="28" t="s">
        <v>57</v>
      </c>
      <c r="I732" s="28" t="s">
        <v>57</v>
      </c>
      <c r="J732" s="28"/>
      <c r="K732" s="29" t="s">
        <v>58</v>
      </c>
      <c r="L732" s="26"/>
      <c r="M732" s="25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ht="18.0" customHeight="1">
      <c r="A733" s="27">
        <v>402.0</v>
      </c>
      <c r="B733" s="28" t="s">
        <v>1485</v>
      </c>
      <c r="C733" s="28">
        <v>40210.0</v>
      </c>
      <c r="D733" s="28" t="s">
        <v>1560</v>
      </c>
      <c r="E733" s="28" t="s">
        <v>1561</v>
      </c>
      <c r="F733" s="28">
        <v>3.0</v>
      </c>
      <c r="G733" s="28" t="s">
        <v>41</v>
      </c>
      <c r="H733" s="28" t="s">
        <v>57</v>
      </c>
      <c r="I733" s="28" t="s">
        <v>57</v>
      </c>
      <c r="J733" s="28"/>
      <c r="K733" s="29" t="s">
        <v>58</v>
      </c>
      <c r="L733" s="26"/>
      <c r="M733" s="25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ht="18.0" customHeight="1">
      <c r="A734" s="27">
        <v>402.0</v>
      </c>
      <c r="B734" s="28" t="s">
        <v>1485</v>
      </c>
      <c r="C734" s="28">
        <v>40211.0</v>
      </c>
      <c r="D734" s="28" t="s">
        <v>1562</v>
      </c>
      <c r="E734" s="28" t="s">
        <v>1563</v>
      </c>
      <c r="F734" s="28">
        <v>3.0</v>
      </c>
      <c r="G734" s="28" t="s">
        <v>41</v>
      </c>
      <c r="H734" s="28" t="s">
        <v>130</v>
      </c>
      <c r="I734" s="28" t="s">
        <v>53</v>
      </c>
      <c r="J734" s="28">
        <v>513110.0</v>
      </c>
      <c r="K734" s="29" t="s">
        <v>58</v>
      </c>
      <c r="L734" s="26"/>
      <c r="M734" s="25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ht="18.0" customHeight="1">
      <c r="A735" s="27">
        <v>402.0</v>
      </c>
      <c r="B735" s="28" t="s">
        <v>1485</v>
      </c>
      <c r="C735" s="28">
        <v>40212.0</v>
      </c>
      <c r="D735" s="28" t="s">
        <v>1564</v>
      </c>
      <c r="E735" s="28" t="s">
        <v>1565</v>
      </c>
      <c r="F735" s="28">
        <v>3.0</v>
      </c>
      <c r="G735" s="28" t="s">
        <v>41</v>
      </c>
      <c r="H735" s="28" t="s">
        <v>130</v>
      </c>
      <c r="I735" s="28" t="s">
        <v>53</v>
      </c>
      <c r="J735" s="28">
        <v>530326.0</v>
      </c>
      <c r="K735" s="29" t="s">
        <v>54</v>
      </c>
      <c r="L735" s="26"/>
      <c r="M735" s="25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ht="18.0" customHeight="1">
      <c r="A736" s="27">
        <v>402.0</v>
      </c>
      <c r="B736" s="28" t="s">
        <v>1485</v>
      </c>
      <c r="C736" s="28">
        <v>40213.0</v>
      </c>
      <c r="D736" s="28" t="s">
        <v>1566</v>
      </c>
      <c r="E736" s="28" t="s">
        <v>1567</v>
      </c>
      <c r="F736" s="28">
        <v>3.0</v>
      </c>
      <c r="G736" s="28" t="s">
        <v>41</v>
      </c>
      <c r="H736" s="28" t="s">
        <v>130</v>
      </c>
      <c r="I736" s="28" t="s">
        <v>53</v>
      </c>
      <c r="J736" s="28"/>
      <c r="K736" s="29" t="s">
        <v>58</v>
      </c>
      <c r="L736" s="26"/>
      <c r="M736" s="25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ht="18.0" customHeight="1">
      <c r="A737" s="27">
        <v>402.0</v>
      </c>
      <c r="B737" s="28" t="s">
        <v>1485</v>
      </c>
      <c r="C737" s="28">
        <v>40215.0</v>
      </c>
      <c r="D737" s="28" t="s">
        <v>1568</v>
      </c>
      <c r="E737" s="28" t="s">
        <v>1569</v>
      </c>
      <c r="F737" s="28">
        <v>3.0</v>
      </c>
      <c r="G737" s="28" t="s">
        <v>41</v>
      </c>
      <c r="H737" s="28" t="s">
        <v>130</v>
      </c>
      <c r="I737" s="28" t="s">
        <v>53</v>
      </c>
      <c r="J737" s="28">
        <v>515794.0</v>
      </c>
      <c r="K737" s="29" t="s">
        <v>58</v>
      </c>
      <c r="L737" s="26"/>
      <c r="M737" s="25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ht="18.0" customHeight="1">
      <c r="A738" s="27">
        <v>402.0</v>
      </c>
      <c r="B738" s="28" t="s">
        <v>1485</v>
      </c>
      <c r="C738" s="28">
        <v>40217.0</v>
      </c>
      <c r="D738" s="28" t="s">
        <v>1570</v>
      </c>
      <c r="E738" s="28" t="s">
        <v>1571</v>
      </c>
      <c r="F738" s="28">
        <v>3.0</v>
      </c>
      <c r="G738" s="28" t="s">
        <v>41</v>
      </c>
      <c r="H738" s="28" t="s">
        <v>57</v>
      </c>
      <c r="I738" s="28" t="s">
        <v>57</v>
      </c>
      <c r="J738" s="28"/>
      <c r="K738" s="29" t="s">
        <v>58</v>
      </c>
      <c r="L738" s="26"/>
      <c r="M738" s="25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ht="18.0" customHeight="1">
      <c r="A739" s="27">
        <v>402.0</v>
      </c>
      <c r="B739" s="28" t="s">
        <v>1485</v>
      </c>
      <c r="C739" s="28">
        <v>40218.0</v>
      </c>
      <c r="D739" s="28" t="s">
        <v>1572</v>
      </c>
      <c r="E739" s="28" t="s">
        <v>1573</v>
      </c>
      <c r="F739" s="28">
        <v>3.0</v>
      </c>
      <c r="G739" s="28" t="s">
        <v>41</v>
      </c>
      <c r="H739" s="28" t="s">
        <v>130</v>
      </c>
      <c r="I739" s="28" t="s">
        <v>53</v>
      </c>
      <c r="J739" s="28"/>
      <c r="K739" s="29" t="s">
        <v>54</v>
      </c>
      <c r="L739" s="26"/>
      <c r="M739" s="25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ht="18.0" customHeight="1">
      <c r="A740" s="27">
        <v>402.0</v>
      </c>
      <c r="B740" s="28" t="s">
        <v>1485</v>
      </c>
      <c r="C740" s="28">
        <v>40221.0</v>
      </c>
      <c r="D740" s="28" t="s">
        <v>1574</v>
      </c>
      <c r="E740" s="28" t="s">
        <v>1575</v>
      </c>
      <c r="F740" s="28">
        <v>3.0</v>
      </c>
      <c r="G740" s="28" t="s">
        <v>44</v>
      </c>
      <c r="H740" s="28" t="s">
        <v>119</v>
      </c>
      <c r="I740" s="28" t="s">
        <v>53</v>
      </c>
      <c r="J740" s="28"/>
      <c r="K740" s="29" t="s">
        <v>58</v>
      </c>
      <c r="L740" s="26"/>
      <c r="M740" s="25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ht="18.0" customHeight="1">
      <c r="A741" s="27">
        <v>402.0</v>
      </c>
      <c r="B741" s="28" t="s">
        <v>1485</v>
      </c>
      <c r="C741" s="28">
        <v>140201.0</v>
      </c>
      <c r="D741" s="28" t="s">
        <v>1576</v>
      </c>
      <c r="E741" s="28" t="s">
        <v>1577</v>
      </c>
      <c r="F741" s="28">
        <v>3.0</v>
      </c>
      <c r="G741" s="28" t="s">
        <v>41</v>
      </c>
      <c r="H741" s="28" t="s">
        <v>130</v>
      </c>
      <c r="I741" s="28" t="s">
        <v>53</v>
      </c>
      <c r="J741" s="28"/>
      <c r="K741" s="29" t="s">
        <v>58</v>
      </c>
      <c r="L741" s="26"/>
      <c r="M741" s="25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ht="18.0" customHeight="1">
      <c r="A742" s="27">
        <v>402.0</v>
      </c>
      <c r="B742" s="28" t="s">
        <v>1485</v>
      </c>
      <c r="C742" s="28">
        <v>140203.0</v>
      </c>
      <c r="D742" s="28" t="s">
        <v>1578</v>
      </c>
      <c r="E742" s="28" t="s">
        <v>1579</v>
      </c>
      <c r="F742" s="28">
        <v>3.0</v>
      </c>
      <c r="G742" s="28" t="s">
        <v>41</v>
      </c>
      <c r="H742" s="28" t="s">
        <v>130</v>
      </c>
      <c r="I742" s="28" t="s">
        <v>57</v>
      </c>
      <c r="J742" s="28"/>
      <c r="K742" s="29" t="s">
        <v>58</v>
      </c>
      <c r="L742" s="33">
        <v>45367.0</v>
      </c>
      <c r="M742" s="25" t="s">
        <v>333</v>
      </c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ht="18.0" customHeight="1">
      <c r="A743" s="27">
        <v>402.0</v>
      </c>
      <c r="B743" s="28" t="s">
        <v>1485</v>
      </c>
      <c r="C743" s="28">
        <v>140205.0</v>
      </c>
      <c r="D743" s="28" t="s">
        <v>1580</v>
      </c>
      <c r="E743" s="28" t="s">
        <v>1581</v>
      </c>
      <c r="F743" s="28">
        <v>3.0</v>
      </c>
      <c r="G743" s="28" t="s">
        <v>41</v>
      </c>
      <c r="H743" s="28" t="s">
        <v>130</v>
      </c>
      <c r="I743" s="28" t="s">
        <v>53</v>
      </c>
      <c r="J743" s="28">
        <v>514079.0</v>
      </c>
      <c r="K743" s="29" t="s">
        <v>54</v>
      </c>
      <c r="L743" s="26"/>
      <c r="M743" s="25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ht="18.0" customHeight="1">
      <c r="A744" s="27">
        <v>402.0</v>
      </c>
      <c r="B744" s="28" t="s">
        <v>1485</v>
      </c>
      <c r="C744" s="28">
        <v>140206.0</v>
      </c>
      <c r="D744" s="28" t="s">
        <v>1582</v>
      </c>
      <c r="E744" s="28" t="s">
        <v>1583</v>
      </c>
      <c r="F744" s="28">
        <v>3.0</v>
      </c>
      <c r="G744" s="28" t="s">
        <v>41</v>
      </c>
      <c r="H744" s="28" t="s">
        <v>57</v>
      </c>
      <c r="I744" s="28" t="s">
        <v>57</v>
      </c>
      <c r="J744" s="28"/>
      <c r="K744" s="29" t="s">
        <v>58</v>
      </c>
      <c r="L744" s="26"/>
      <c r="M744" s="25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ht="18.0" customHeight="1">
      <c r="A745" s="27">
        <v>402.0</v>
      </c>
      <c r="B745" s="28" t="s">
        <v>1485</v>
      </c>
      <c r="C745" s="28">
        <v>140211.0</v>
      </c>
      <c r="D745" s="28" t="s">
        <v>1584</v>
      </c>
      <c r="E745" s="28" t="s">
        <v>1585</v>
      </c>
      <c r="F745" s="28">
        <v>3.0</v>
      </c>
      <c r="G745" s="28" t="s">
        <v>41</v>
      </c>
      <c r="H745" s="28" t="s">
        <v>130</v>
      </c>
      <c r="I745" s="28" t="s">
        <v>53</v>
      </c>
      <c r="J745" s="28">
        <v>515774.0</v>
      </c>
      <c r="K745" s="29" t="s">
        <v>54</v>
      </c>
      <c r="L745" s="26"/>
      <c r="M745" s="25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ht="18.0" customHeight="1">
      <c r="A746" s="27">
        <v>402.0</v>
      </c>
      <c r="B746" s="28" t="s">
        <v>1485</v>
      </c>
      <c r="C746" s="28">
        <v>140214.0</v>
      </c>
      <c r="D746" s="28" t="s">
        <v>1586</v>
      </c>
      <c r="E746" s="28" t="s">
        <v>1587</v>
      </c>
      <c r="F746" s="28">
        <v>3.0</v>
      </c>
      <c r="G746" s="28" t="s">
        <v>41</v>
      </c>
      <c r="H746" s="28" t="s">
        <v>130</v>
      </c>
      <c r="I746" s="28" t="s">
        <v>53</v>
      </c>
      <c r="J746" s="28">
        <v>515777.0</v>
      </c>
      <c r="K746" s="29" t="s">
        <v>58</v>
      </c>
      <c r="L746" s="26"/>
      <c r="M746" s="25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ht="18.0" customHeight="1">
      <c r="A747" s="27">
        <v>402.0</v>
      </c>
      <c r="B747" s="28" t="s">
        <v>1485</v>
      </c>
      <c r="C747" s="28">
        <v>140216.0</v>
      </c>
      <c r="D747" s="28" t="s">
        <v>1588</v>
      </c>
      <c r="E747" s="28" t="s">
        <v>1589</v>
      </c>
      <c r="F747" s="28">
        <v>3.0</v>
      </c>
      <c r="G747" s="28" t="s">
        <v>41</v>
      </c>
      <c r="H747" s="28" t="s">
        <v>130</v>
      </c>
      <c r="I747" s="28" t="s">
        <v>53</v>
      </c>
      <c r="J747" s="28">
        <v>515786.0</v>
      </c>
      <c r="K747" s="29" t="s">
        <v>58</v>
      </c>
      <c r="L747" s="26"/>
      <c r="M747" s="25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ht="18.0" customHeight="1">
      <c r="A748" s="27">
        <v>402.0</v>
      </c>
      <c r="B748" s="28" t="s">
        <v>1485</v>
      </c>
      <c r="C748" s="28">
        <v>140217.0</v>
      </c>
      <c r="D748" s="28" t="s">
        <v>1590</v>
      </c>
      <c r="E748" s="28" t="s">
        <v>1591</v>
      </c>
      <c r="F748" s="28">
        <v>3.0</v>
      </c>
      <c r="G748" s="28" t="s">
        <v>41</v>
      </c>
      <c r="H748" s="28" t="s">
        <v>130</v>
      </c>
      <c r="I748" s="28" t="s">
        <v>53</v>
      </c>
      <c r="J748" s="28">
        <v>515787.0</v>
      </c>
      <c r="K748" s="29" t="s">
        <v>58</v>
      </c>
      <c r="L748" s="26"/>
      <c r="M748" s="25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ht="18.0" customHeight="1">
      <c r="A749" s="27">
        <v>402.0</v>
      </c>
      <c r="B749" s="28" t="s">
        <v>1485</v>
      </c>
      <c r="C749" s="28">
        <v>140219.0</v>
      </c>
      <c r="D749" s="28" t="s">
        <v>1592</v>
      </c>
      <c r="E749" s="28" t="s">
        <v>1593</v>
      </c>
      <c r="F749" s="28">
        <v>3.0</v>
      </c>
      <c r="G749" s="28" t="s">
        <v>44</v>
      </c>
      <c r="H749" s="28" t="s">
        <v>119</v>
      </c>
      <c r="I749" s="28" t="s">
        <v>53</v>
      </c>
      <c r="J749" s="28">
        <v>515789.0</v>
      </c>
      <c r="K749" s="29" t="s">
        <v>58</v>
      </c>
      <c r="L749" s="26"/>
      <c r="M749" s="25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ht="18.0" customHeight="1">
      <c r="A750" s="27">
        <v>402.0</v>
      </c>
      <c r="B750" s="28" t="s">
        <v>1485</v>
      </c>
      <c r="C750" s="28">
        <v>140220.0</v>
      </c>
      <c r="D750" s="28" t="s">
        <v>1594</v>
      </c>
      <c r="E750" s="28" t="s">
        <v>1595</v>
      </c>
      <c r="F750" s="28">
        <v>3.0</v>
      </c>
      <c r="G750" s="28" t="s">
        <v>41</v>
      </c>
      <c r="H750" s="28" t="s">
        <v>130</v>
      </c>
      <c r="I750" s="28" t="s">
        <v>57</v>
      </c>
      <c r="J750" s="28"/>
      <c r="K750" s="29" t="s">
        <v>58</v>
      </c>
      <c r="L750" s="33">
        <v>45367.0</v>
      </c>
      <c r="M750" s="25" t="s">
        <v>333</v>
      </c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ht="18.0" customHeight="1">
      <c r="A751" s="27">
        <v>402.0</v>
      </c>
      <c r="B751" s="28" t="s">
        <v>1485</v>
      </c>
      <c r="C751" s="28">
        <v>140222.0</v>
      </c>
      <c r="D751" s="28" t="s">
        <v>1596</v>
      </c>
      <c r="E751" s="28" t="s">
        <v>1597</v>
      </c>
      <c r="F751" s="28">
        <v>3.0</v>
      </c>
      <c r="G751" s="28" t="s">
        <v>41</v>
      </c>
      <c r="H751" s="28" t="s">
        <v>130</v>
      </c>
      <c r="I751" s="28" t="s">
        <v>57</v>
      </c>
      <c r="J751" s="28">
        <v>515791.0</v>
      </c>
      <c r="K751" s="29" t="s">
        <v>58</v>
      </c>
      <c r="L751" s="34">
        <v>45367.0</v>
      </c>
      <c r="M751" s="25" t="s">
        <v>333</v>
      </c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ht="18.0" customHeight="1">
      <c r="A752" s="27">
        <v>402.0</v>
      </c>
      <c r="B752" s="28" t="s">
        <v>1485</v>
      </c>
      <c r="C752" s="28">
        <v>140226.0</v>
      </c>
      <c r="D752" s="28" t="s">
        <v>1598</v>
      </c>
      <c r="E752" s="28" t="s">
        <v>1599</v>
      </c>
      <c r="F752" s="28">
        <v>3.0</v>
      </c>
      <c r="G752" s="28" t="s">
        <v>41</v>
      </c>
      <c r="H752" s="28" t="s">
        <v>130</v>
      </c>
      <c r="I752" s="28" t="s">
        <v>57</v>
      </c>
      <c r="J752" s="28">
        <v>515793.0</v>
      </c>
      <c r="K752" s="29" t="s">
        <v>54</v>
      </c>
      <c r="L752" s="34">
        <v>45367.0</v>
      </c>
      <c r="M752" s="25" t="s">
        <v>333</v>
      </c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ht="18.0" customHeight="1">
      <c r="A753" s="27">
        <v>402.0</v>
      </c>
      <c r="B753" s="28" t="s">
        <v>1485</v>
      </c>
      <c r="C753" s="28">
        <v>140228.0</v>
      </c>
      <c r="D753" s="28" t="s">
        <v>1600</v>
      </c>
      <c r="E753" s="28" t="s">
        <v>1601</v>
      </c>
      <c r="F753" s="28">
        <v>3.0</v>
      </c>
      <c r="G753" s="28" t="s">
        <v>41</v>
      </c>
      <c r="H753" s="28" t="s">
        <v>130</v>
      </c>
      <c r="I753" s="28" t="s">
        <v>57</v>
      </c>
      <c r="J753" s="28">
        <v>515795.0</v>
      </c>
      <c r="K753" s="29" t="s">
        <v>58</v>
      </c>
      <c r="L753" s="34">
        <v>45367.0</v>
      </c>
      <c r="M753" s="25" t="s">
        <v>333</v>
      </c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ht="18.0" customHeight="1">
      <c r="A754" s="27">
        <v>443.0</v>
      </c>
      <c r="B754" s="28" t="s">
        <v>1602</v>
      </c>
      <c r="C754" s="28">
        <v>244301.0</v>
      </c>
      <c r="D754" s="28" t="s">
        <v>1603</v>
      </c>
      <c r="E754" s="28" t="s">
        <v>1604</v>
      </c>
      <c r="F754" s="28">
        <v>2.0</v>
      </c>
      <c r="G754" s="28" t="s">
        <v>44</v>
      </c>
      <c r="H754" s="28" t="s">
        <v>114</v>
      </c>
      <c r="I754" s="28" t="s">
        <v>57</v>
      </c>
      <c r="J754" s="28">
        <v>524002.0</v>
      </c>
      <c r="K754" s="29" t="s">
        <v>58</v>
      </c>
      <c r="L754" s="33">
        <v>45367.0</v>
      </c>
      <c r="M754" s="25" t="s">
        <v>333</v>
      </c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ht="18.0" customHeight="1">
      <c r="A755" s="27">
        <v>444.0</v>
      </c>
      <c r="B755" s="28" t="s">
        <v>1605</v>
      </c>
      <c r="C755" s="28">
        <v>344401.0</v>
      </c>
      <c r="D755" s="28" t="s">
        <v>1606</v>
      </c>
      <c r="E755" s="28" t="s">
        <v>1607</v>
      </c>
      <c r="F755" s="28">
        <v>1.0</v>
      </c>
      <c r="G755" s="28" t="s">
        <v>44</v>
      </c>
      <c r="H755" s="28" t="s">
        <v>57</v>
      </c>
      <c r="I755" s="28" t="s">
        <v>57</v>
      </c>
      <c r="J755" s="28"/>
      <c r="K755" s="29" t="s">
        <v>58</v>
      </c>
      <c r="L755" s="26"/>
      <c r="M755" s="25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ht="18.0" customHeight="1">
      <c r="A756" s="27">
        <v>444.0</v>
      </c>
      <c r="B756" s="28" t="s">
        <v>1605</v>
      </c>
      <c r="C756" s="28">
        <v>344402.0</v>
      </c>
      <c r="D756" s="28" t="s">
        <v>1608</v>
      </c>
      <c r="E756" s="28" t="s">
        <v>1609</v>
      </c>
      <c r="F756" s="28">
        <v>1.0</v>
      </c>
      <c r="G756" s="28" t="s">
        <v>44</v>
      </c>
      <c r="H756" s="28" t="s">
        <v>57</v>
      </c>
      <c r="I756" s="28" t="s">
        <v>57</v>
      </c>
      <c r="J756" s="28"/>
      <c r="K756" s="29" t="s">
        <v>58</v>
      </c>
      <c r="L756" s="26"/>
      <c r="M756" s="25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ht="18.0" customHeight="1">
      <c r="A757" s="27">
        <v>444.0</v>
      </c>
      <c r="B757" s="28" t="s">
        <v>1605</v>
      </c>
      <c r="C757" s="28">
        <v>344403.0</v>
      </c>
      <c r="D757" s="28" t="s">
        <v>1610</v>
      </c>
      <c r="E757" s="28" t="s">
        <v>1611</v>
      </c>
      <c r="F757" s="28">
        <v>1.0</v>
      </c>
      <c r="G757" s="28" t="s">
        <v>44</v>
      </c>
      <c r="H757" s="28" t="s">
        <v>57</v>
      </c>
      <c r="I757" s="28" t="s">
        <v>57</v>
      </c>
      <c r="J757" s="28"/>
      <c r="K757" s="29" t="s">
        <v>58</v>
      </c>
      <c r="L757" s="26"/>
      <c r="M757" s="25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ht="18.0" customHeight="1">
      <c r="A758" s="27">
        <v>444.0</v>
      </c>
      <c r="B758" s="28" t="s">
        <v>1605</v>
      </c>
      <c r="C758" s="28">
        <v>344404.0</v>
      </c>
      <c r="D758" s="28" t="s">
        <v>1612</v>
      </c>
      <c r="E758" s="28" t="s">
        <v>1613</v>
      </c>
      <c r="F758" s="28">
        <v>1.0</v>
      </c>
      <c r="G758" s="28" t="s">
        <v>44</v>
      </c>
      <c r="H758" s="28" t="s">
        <v>57</v>
      </c>
      <c r="I758" s="28" t="s">
        <v>57</v>
      </c>
      <c r="J758" s="28"/>
      <c r="K758" s="29" t="s">
        <v>58</v>
      </c>
      <c r="L758" s="26"/>
      <c r="M758" s="25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ht="18.0" customHeight="1">
      <c r="A759" s="27">
        <v>444.0</v>
      </c>
      <c r="B759" s="28" t="s">
        <v>1605</v>
      </c>
      <c r="C759" s="28">
        <v>244401.0</v>
      </c>
      <c r="D759" s="28" t="s">
        <v>1614</v>
      </c>
      <c r="E759" s="28" t="s">
        <v>1615</v>
      </c>
      <c r="F759" s="28">
        <v>2.0</v>
      </c>
      <c r="G759" s="28" t="s">
        <v>44</v>
      </c>
      <c r="H759" s="28" t="s">
        <v>57</v>
      </c>
      <c r="I759" s="28" t="s">
        <v>57</v>
      </c>
      <c r="J759" s="28"/>
      <c r="K759" s="29" t="s">
        <v>58</v>
      </c>
      <c r="L759" s="26"/>
      <c r="M759" s="25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ht="18.0" customHeight="1">
      <c r="A760" s="27">
        <v>444.0</v>
      </c>
      <c r="B760" s="28" t="s">
        <v>1605</v>
      </c>
      <c r="C760" s="28">
        <v>244402.0</v>
      </c>
      <c r="D760" s="28" t="s">
        <v>1616</v>
      </c>
      <c r="E760" s="28" t="s">
        <v>1617</v>
      </c>
      <c r="F760" s="28">
        <v>2.0</v>
      </c>
      <c r="G760" s="28" t="s">
        <v>44</v>
      </c>
      <c r="H760" s="28" t="s">
        <v>57</v>
      </c>
      <c r="I760" s="28" t="s">
        <v>57</v>
      </c>
      <c r="J760" s="28"/>
      <c r="K760" s="29" t="s">
        <v>58</v>
      </c>
      <c r="L760" s="26"/>
      <c r="M760" s="25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ht="18.0" customHeight="1">
      <c r="A761" s="27">
        <v>444.0</v>
      </c>
      <c r="B761" s="28" t="s">
        <v>1605</v>
      </c>
      <c r="C761" s="28">
        <v>244403.0</v>
      </c>
      <c r="D761" s="28" t="s">
        <v>1618</v>
      </c>
      <c r="E761" s="28" t="s">
        <v>1619</v>
      </c>
      <c r="F761" s="28">
        <v>2.0</v>
      </c>
      <c r="G761" s="28" t="s">
        <v>44</v>
      </c>
      <c r="H761" s="28" t="s">
        <v>57</v>
      </c>
      <c r="I761" s="28" t="s">
        <v>57</v>
      </c>
      <c r="J761" s="28"/>
      <c r="K761" s="29" t="s">
        <v>58</v>
      </c>
      <c r="L761" s="26"/>
      <c r="M761" s="25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ht="18.0" customHeight="1">
      <c r="A762" s="27">
        <v>444.0</v>
      </c>
      <c r="B762" s="28" t="s">
        <v>1605</v>
      </c>
      <c r="C762" s="28">
        <v>244405.0</v>
      </c>
      <c r="D762" s="28" t="s">
        <v>1620</v>
      </c>
      <c r="E762" s="28" t="s">
        <v>1621</v>
      </c>
      <c r="F762" s="28">
        <v>2.0</v>
      </c>
      <c r="G762" s="28" t="s">
        <v>44</v>
      </c>
      <c r="H762" s="28" t="s">
        <v>57</v>
      </c>
      <c r="I762" s="28" t="s">
        <v>57</v>
      </c>
      <c r="J762" s="28"/>
      <c r="K762" s="29" t="s">
        <v>58</v>
      </c>
      <c r="L762" s="26"/>
      <c r="M762" s="25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ht="18.0" customHeight="1">
      <c r="A763" s="27">
        <v>444.0</v>
      </c>
      <c r="B763" s="28" t="s">
        <v>1605</v>
      </c>
      <c r="C763" s="28">
        <v>144401.0</v>
      </c>
      <c r="D763" s="28" t="s">
        <v>1622</v>
      </c>
      <c r="E763" s="28" t="s">
        <v>1623</v>
      </c>
      <c r="F763" s="28">
        <v>3.0</v>
      </c>
      <c r="G763" s="28" t="s">
        <v>44</v>
      </c>
      <c r="H763" s="28" t="s">
        <v>119</v>
      </c>
      <c r="I763" s="28" t="s">
        <v>53</v>
      </c>
      <c r="J763" s="28">
        <v>513254.0</v>
      </c>
      <c r="K763" s="29" t="s">
        <v>58</v>
      </c>
      <c r="L763" s="33">
        <v>45366.0</v>
      </c>
      <c r="M763" s="25" t="s">
        <v>333</v>
      </c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ht="18.0" customHeight="1">
      <c r="A764" s="27">
        <v>444.0</v>
      </c>
      <c r="B764" s="28" t="s">
        <v>1605</v>
      </c>
      <c r="C764" s="28">
        <v>144402.0</v>
      </c>
      <c r="D764" s="28" t="s">
        <v>1624</v>
      </c>
      <c r="E764" s="28" t="s">
        <v>1625</v>
      </c>
      <c r="F764" s="28">
        <v>3.0</v>
      </c>
      <c r="G764" s="28" t="s">
        <v>44</v>
      </c>
      <c r="H764" s="28" t="s">
        <v>119</v>
      </c>
      <c r="I764" s="28" t="s">
        <v>53</v>
      </c>
      <c r="J764" s="28">
        <v>257841.0</v>
      </c>
      <c r="K764" s="29" t="s">
        <v>58</v>
      </c>
      <c r="L764" s="33">
        <v>45366.0</v>
      </c>
      <c r="M764" s="25" t="s">
        <v>333</v>
      </c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ht="18.0" customHeight="1">
      <c r="A765" s="27">
        <v>444.0</v>
      </c>
      <c r="B765" s="28" t="s">
        <v>1605</v>
      </c>
      <c r="C765" s="28">
        <v>144403.0</v>
      </c>
      <c r="D765" s="28" t="s">
        <v>1626</v>
      </c>
      <c r="E765" s="28" t="s">
        <v>1627</v>
      </c>
      <c r="F765" s="28">
        <v>3.0</v>
      </c>
      <c r="G765" s="28" t="s">
        <v>44</v>
      </c>
      <c r="H765" s="28" t="s">
        <v>57</v>
      </c>
      <c r="I765" s="28" t="s">
        <v>57</v>
      </c>
      <c r="J765" s="28"/>
      <c r="K765" s="29" t="s">
        <v>58</v>
      </c>
      <c r="L765" s="26"/>
      <c r="M765" s="25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ht="18.0" customHeight="1">
      <c r="A766" s="27">
        <v>444.0</v>
      </c>
      <c r="B766" s="28" t="s">
        <v>1605</v>
      </c>
      <c r="C766" s="28">
        <v>144404.0</v>
      </c>
      <c r="D766" s="28" t="s">
        <v>1628</v>
      </c>
      <c r="E766" s="28" t="s">
        <v>1629</v>
      </c>
      <c r="F766" s="28">
        <v>3.0</v>
      </c>
      <c r="G766" s="28" t="s">
        <v>44</v>
      </c>
      <c r="H766" s="28" t="s">
        <v>57</v>
      </c>
      <c r="I766" s="28" t="s">
        <v>53</v>
      </c>
      <c r="J766" s="28"/>
      <c r="K766" s="29" t="s">
        <v>58</v>
      </c>
      <c r="L766" s="33">
        <v>45366.0</v>
      </c>
      <c r="M766" s="25" t="s">
        <v>333</v>
      </c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ht="18.0" customHeight="1">
      <c r="A767" s="27">
        <v>444.0</v>
      </c>
      <c r="B767" s="28" t="s">
        <v>1605</v>
      </c>
      <c r="C767" s="28">
        <v>144406.0</v>
      </c>
      <c r="D767" s="28" t="s">
        <v>1630</v>
      </c>
      <c r="E767" s="28" t="s">
        <v>1631</v>
      </c>
      <c r="F767" s="28">
        <v>3.0</v>
      </c>
      <c r="G767" s="28" t="s">
        <v>44</v>
      </c>
      <c r="H767" s="28" t="s">
        <v>119</v>
      </c>
      <c r="I767" s="28" t="s">
        <v>53</v>
      </c>
      <c r="J767" s="28">
        <v>255122.0</v>
      </c>
      <c r="K767" s="29" t="s">
        <v>58</v>
      </c>
      <c r="L767" s="33">
        <v>45366.0</v>
      </c>
      <c r="M767" s="25" t="s">
        <v>333</v>
      </c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ht="18.0" customHeight="1">
      <c r="A768" s="27">
        <v>444.0</v>
      </c>
      <c r="B768" s="28" t="s">
        <v>1605</v>
      </c>
      <c r="C768" s="28">
        <v>144407.0</v>
      </c>
      <c r="D768" s="28" t="s">
        <v>1632</v>
      </c>
      <c r="E768" s="28" t="s">
        <v>1633</v>
      </c>
      <c r="F768" s="28">
        <v>3.0</v>
      </c>
      <c r="G768" s="28" t="s">
        <v>44</v>
      </c>
      <c r="H768" s="28" t="s">
        <v>57</v>
      </c>
      <c r="I768" s="28" t="s">
        <v>57</v>
      </c>
      <c r="J768" s="28"/>
      <c r="K768" s="29" t="s">
        <v>58</v>
      </c>
      <c r="L768" s="26"/>
      <c r="M768" s="25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ht="18.0" customHeight="1">
      <c r="A769" s="27">
        <v>444.0</v>
      </c>
      <c r="B769" s="28" t="s">
        <v>1605</v>
      </c>
      <c r="C769" s="28">
        <v>144417.0</v>
      </c>
      <c r="D769" s="28" t="s">
        <v>1634</v>
      </c>
      <c r="E769" s="28" t="s">
        <v>1635</v>
      </c>
      <c r="F769" s="28">
        <v>3.0</v>
      </c>
      <c r="G769" s="28" t="s">
        <v>44</v>
      </c>
      <c r="H769" s="28" t="s">
        <v>119</v>
      </c>
      <c r="I769" s="28" t="s">
        <v>53</v>
      </c>
      <c r="J769" s="28">
        <v>515798.0</v>
      </c>
      <c r="K769" s="29" t="s">
        <v>58</v>
      </c>
      <c r="L769" s="33">
        <v>45366.0</v>
      </c>
      <c r="M769" s="25" t="s">
        <v>333</v>
      </c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ht="18.0" customHeight="1">
      <c r="A770" s="27">
        <v>501.0</v>
      </c>
      <c r="B770" s="28" t="s">
        <v>1636</v>
      </c>
      <c r="C770" s="28">
        <v>350102.0</v>
      </c>
      <c r="D770" s="28" t="s">
        <v>1637</v>
      </c>
      <c r="E770" s="28" t="s">
        <v>1638</v>
      </c>
      <c r="F770" s="28">
        <v>1.0</v>
      </c>
      <c r="G770" s="28" t="s">
        <v>41</v>
      </c>
      <c r="H770" s="28" t="s">
        <v>57</v>
      </c>
      <c r="I770" s="28" t="s">
        <v>57</v>
      </c>
      <c r="J770" s="28"/>
      <c r="K770" s="29" t="s">
        <v>58</v>
      </c>
      <c r="L770" s="26"/>
      <c r="M770" s="25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ht="18.0" customHeight="1">
      <c r="A771" s="27">
        <v>501.0</v>
      </c>
      <c r="B771" s="28" t="s">
        <v>1636</v>
      </c>
      <c r="C771" s="28">
        <v>350103.0</v>
      </c>
      <c r="D771" s="28" t="s">
        <v>1639</v>
      </c>
      <c r="E771" s="28" t="s">
        <v>1640</v>
      </c>
      <c r="F771" s="28">
        <v>1.0</v>
      </c>
      <c r="G771" s="28" t="s">
        <v>41</v>
      </c>
      <c r="H771" s="28" t="s">
        <v>52</v>
      </c>
      <c r="I771" s="28" t="s">
        <v>53</v>
      </c>
      <c r="J771" s="28">
        <v>530290.0</v>
      </c>
      <c r="K771" s="29" t="s">
        <v>54</v>
      </c>
      <c r="L771" s="26"/>
      <c r="M771" s="25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ht="18.0" customHeight="1">
      <c r="A772" s="27">
        <v>501.0</v>
      </c>
      <c r="B772" s="28" t="s">
        <v>1636</v>
      </c>
      <c r="C772" s="28">
        <v>350104.0</v>
      </c>
      <c r="D772" s="28" t="s">
        <v>1641</v>
      </c>
      <c r="E772" s="28" t="s">
        <v>1642</v>
      </c>
      <c r="F772" s="28">
        <v>1.0</v>
      </c>
      <c r="G772" s="28" t="s">
        <v>41</v>
      </c>
      <c r="H772" s="28" t="s">
        <v>57</v>
      </c>
      <c r="I772" s="28" t="s">
        <v>57</v>
      </c>
      <c r="J772" s="28"/>
      <c r="K772" s="29" t="s">
        <v>58</v>
      </c>
      <c r="L772" s="26"/>
      <c r="M772" s="25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ht="18.0" customHeight="1">
      <c r="A773" s="27">
        <v>501.0</v>
      </c>
      <c r="B773" s="28" t="s">
        <v>1636</v>
      </c>
      <c r="C773" s="28">
        <v>350105.0</v>
      </c>
      <c r="D773" s="28" t="s">
        <v>1643</v>
      </c>
      <c r="E773" s="28" t="s">
        <v>1644</v>
      </c>
      <c r="F773" s="28">
        <v>1.0</v>
      </c>
      <c r="G773" s="28" t="s">
        <v>44</v>
      </c>
      <c r="H773" s="28" t="s">
        <v>61</v>
      </c>
      <c r="I773" s="28" t="s">
        <v>53</v>
      </c>
      <c r="J773" s="28">
        <v>530292.0</v>
      </c>
      <c r="K773" s="29" t="s">
        <v>58</v>
      </c>
      <c r="L773" s="26"/>
      <c r="M773" s="25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ht="18.0" customHeight="1">
      <c r="A774" s="27">
        <v>501.0</v>
      </c>
      <c r="B774" s="28" t="s">
        <v>1636</v>
      </c>
      <c r="C774" s="28">
        <v>350106.0</v>
      </c>
      <c r="D774" s="28" t="s">
        <v>1645</v>
      </c>
      <c r="E774" s="28" t="s">
        <v>1646</v>
      </c>
      <c r="F774" s="28">
        <v>1.0</v>
      </c>
      <c r="G774" s="28" t="s">
        <v>44</v>
      </c>
      <c r="H774" s="28" t="s">
        <v>57</v>
      </c>
      <c r="I774" s="28" t="s">
        <v>57</v>
      </c>
      <c r="J774" s="28"/>
      <c r="K774" s="29" t="s">
        <v>58</v>
      </c>
      <c r="L774" s="26"/>
      <c r="M774" s="25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ht="18.0" customHeight="1">
      <c r="A775" s="27">
        <v>501.0</v>
      </c>
      <c r="B775" s="28" t="s">
        <v>1636</v>
      </c>
      <c r="C775" s="28">
        <v>350107.0</v>
      </c>
      <c r="D775" s="28" t="s">
        <v>1647</v>
      </c>
      <c r="E775" s="28" t="s">
        <v>1648</v>
      </c>
      <c r="F775" s="28">
        <v>1.0</v>
      </c>
      <c r="G775" s="28" t="s">
        <v>44</v>
      </c>
      <c r="H775" s="28" t="s">
        <v>57</v>
      </c>
      <c r="I775" s="28" t="s">
        <v>57</v>
      </c>
      <c r="J775" s="28"/>
      <c r="K775" s="29" t="s">
        <v>58</v>
      </c>
      <c r="L775" s="26"/>
      <c r="M775" s="25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ht="18.0" customHeight="1">
      <c r="A776" s="27">
        <v>501.0</v>
      </c>
      <c r="B776" s="28" t="s">
        <v>1636</v>
      </c>
      <c r="C776" s="28">
        <v>350108.0</v>
      </c>
      <c r="D776" s="28" t="s">
        <v>1649</v>
      </c>
      <c r="E776" s="28" t="s">
        <v>1650</v>
      </c>
      <c r="F776" s="28">
        <v>1.0</v>
      </c>
      <c r="G776" s="28" t="s">
        <v>44</v>
      </c>
      <c r="H776" s="28" t="s">
        <v>57</v>
      </c>
      <c r="I776" s="28" t="s">
        <v>57</v>
      </c>
      <c r="J776" s="28"/>
      <c r="K776" s="29" t="s">
        <v>58</v>
      </c>
      <c r="L776" s="26"/>
      <c r="M776" s="25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ht="18.0" customHeight="1">
      <c r="A777" s="27">
        <v>501.0</v>
      </c>
      <c r="B777" s="28" t="s">
        <v>1636</v>
      </c>
      <c r="C777" s="28">
        <v>350109.0</v>
      </c>
      <c r="D777" s="28" t="s">
        <v>1651</v>
      </c>
      <c r="E777" s="28" t="s">
        <v>1652</v>
      </c>
      <c r="F777" s="28">
        <v>1.0</v>
      </c>
      <c r="G777" s="28" t="s">
        <v>44</v>
      </c>
      <c r="H777" s="28" t="s">
        <v>61</v>
      </c>
      <c r="I777" s="28" t="s">
        <v>53</v>
      </c>
      <c r="J777" s="28">
        <v>530294.0</v>
      </c>
      <c r="K777" s="29" t="s">
        <v>54</v>
      </c>
      <c r="L777" s="26"/>
      <c r="M777" s="25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ht="18.0" customHeight="1">
      <c r="A778" s="27">
        <v>501.0</v>
      </c>
      <c r="B778" s="28" t="s">
        <v>1636</v>
      </c>
      <c r="C778" s="28">
        <v>350110.0</v>
      </c>
      <c r="D778" s="28" t="s">
        <v>1653</v>
      </c>
      <c r="E778" s="28" t="s">
        <v>1654</v>
      </c>
      <c r="F778" s="28">
        <v>1.0</v>
      </c>
      <c r="G778" s="28" t="s">
        <v>41</v>
      </c>
      <c r="H778" s="28" t="s">
        <v>52</v>
      </c>
      <c r="I778" s="28" t="s">
        <v>57</v>
      </c>
      <c r="J778" s="28">
        <v>530291.0</v>
      </c>
      <c r="K778" s="29" t="s">
        <v>58</v>
      </c>
      <c r="L778" s="26"/>
      <c r="M778" s="25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ht="18.0" customHeight="1">
      <c r="A779" s="27">
        <v>501.0</v>
      </c>
      <c r="B779" s="28" t="s">
        <v>1636</v>
      </c>
      <c r="C779" s="28">
        <v>250101.0</v>
      </c>
      <c r="D779" s="28" t="s">
        <v>1655</v>
      </c>
      <c r="E779" s="28" t="s">
        <v>1656</v>
      </c>
      <c r="F779" s="28">
        <v>2.0</v>
      </c>
      <c r="G779" s="28" t="s">
        <v>44</v>
      </c>
      <c r="H779" s="28" t="s">
        <v>57</v>
      </c>
      <c r="I779" s="28" t="s">
        <v>57</v>
      </c>
      <c r="J779" s="28"/>
      <c r="K779" s="29" t="s">
        <v>58</v>
      </c>
      <c r="L779" s="26"/>
      <c r="M779" s="25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ht="18.0" customHeight="1">
      <c r="A780" s="27">
        <v>501.0</v>
      </c>
      <c r="B780" s="28" t="s">
        <v>1636</v>
      </c>
      <c r="C780" s="28">
        <v>250103.0</v>
      </c>
      <c r="D780" s="28" t="s">
        <v>1657</v>
      </c>
      <c r="E780" s="28" t="s">
        <v>1658</v>
      </c>
      <c r="F780" s="28">
        <v>2.0</v>
      </c>
      <c r="G780" s="28" t="s">
        <v>41</v>
      </c>
      <c r="H780" s="28" t="s">
        <v>130</v>
      </c>
      <c r="I780" s="28" t="s">
        <v>53</v>
      </c>
      <c r="J780" s="28">
        <v>523989.0</v>
      </c>
      <c r="K780" s="29" t="s">
        <v>54</v>
      </c>
      <c r="L780" s="26"/>
      <c r="M780" s="25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ht="18.0" customHeight="1">
      <c r="A781" s="27">
        <v>501.0</v>
      </c>
      <c r="B781" s="28" t="s">
        <v>1636</v>
      </c>
      <c r="C781" s="28">
        <v>250104.0</v>
      </c>
      <c r="D781" s="28" t="s">
        <v>1659</v>
      </c>
      <c r="E781" s="28" t="s">
        <v>1660</v>
      </c>
      <c r="F781" s="28">
        <v>2.0</v>
      </c>
      <c r="G781" s="28" t="s">
        <v>44</v>
      </c>
      <c r="H781" s="28" t="s">
        <v>114</v>
      </c>
      <c r="I781" s="28" t="s">
        <v>53</v>
      </c>
      <c r="J781" s="28">
        <v>523987.0</v>
      </c>
      <c r="K781" s="29" t="s">
        <v>54</v>
      </c>
      <c r="L781" s="26"/>
      <c r="M781" s="25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ht="18.0" customHeight="1">
      <c r="A782" s="27">
        <v>501.0</v>
      </c>
      <c r="B782" s="28" t="s">
        <v>1636</v>
      </c>
      <c r="C782" s="28">
        <v>250106.0</v>
      </c>
      <c r="D782" s="28" t="s">
        <v>1661</v>
      </c>
      <c r="E782" s="28" t="s">
        <v>1662</v>
      </c>
      <c r="F782" s="28">
        <v>2.0</v>
      </c>
      <c r="G782" s="28" t="s">
        <v>41</v>
      </c>
      <c r="H782" s="28" t="s">
        <v>130</v>
      </c>
      <c r="I782" s="28" t="s">
        <v>53</v>
      </c>
      <c r="J782" s="28">
        <v>523990.0</v>
      </c>
      <c r="K782" s="29" t="s">
        <v>54</v>
      </c>
      <c r="L782" s="26"/>
      <c r="M782" s="25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ht="18.0" customHeight="1">
      <c r="A783" s="27">
        <v>501.0</v>
      </c>
      <c r="B783" s="28" t="s">
        <v>1636</v>
      </c>
      <c r="C783" s="28">
        <v>250107.0</v>
      </c>
      <c r="D783" s="28" t="s">
        <v>1663</v>
      </c>
      <c r="E783" s="28" t="s">
        <v>1664</v>
      </c>
      <c r="F783" s="28">
        <v>2.0</v>
      </c>
      <c r="G783" s="28" t="s">
        <v>41</v>
      </c>
      <c r="H783" s="28" t="s">
        <v>130</v>
      </c>
      <c r="I783" s="28" t="s">
        <v>53</v>
      </c>
      <c r="J783" s="28">
        <v>523988.0</v>
      </c>
      <c r="K783" s="29" t="s">
        <v>54</v>
      </c>
      <c r="L783" s="26"/>
      <c r="M783" s="25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ht="18.0" customHeight="1">
      <c r="A784" s="27">
        <v>501.0</v>
      </c>
      <c r="B784" s="28" t="s">
        <v>1636</v>
      </c>
      <c r="C784" s="28">
        <v>250114.0</v>
      </c>
      <c r="D784" s="28" t="s">
        <v>1665</v>
      </c>
      <c r="E784" s="28" t="s">
        <v>1666</v>
      </c>
      <c r="F784" s="28">
        <v>2.0</v>
      </c>
      <c r="G784" s="28" t="s">
        <v>41</v>
      </c>
      <c r="H784" s="28" t="s">
        <v>130</v>
      </c>
      <c r="I784" s="28" t="s">
        <v>53</v>
      </c>
      <c r="J784" s="28"/>
      <c r="K784" s="29" t="s">
        <v>54</v>
      </c>
      <c r="L784" s="26"/>
      <c r="M784" s="25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ht="18.0" customHeight="1">
      <c r="A785" s="27">
        <v>501.0</v>
      </c>
      <c r="B785" s="28" t="s">
        <v>1636</v>
      </c>
      <c r="C785" s="28">
        <v>250115.0</v>
      </c>
      <c r="D785" s="28" t="s">
        <v>1667</v>
      </c>
      <c r="E785" s="28" t="s">
        <v>1668</v>
      </c>
      <c r="F785" s="28">
        <v>2.0</v>
      </c>
      <c r="G785" s="28" t="s">
        <v>41</v>
      </c>
      <c r="H785" s="28" t="s">
        <v>130</v>
      </c>
      <c r="I785" s="28" t="s">
        <v>53</v>
      </c>
      <c r="J785" s="28">
        <v>523986.0</v>
      </c>
      <c r="K785" s="29" t="s">
        <v>54</v>
      </c>
      <c r="L785" s="26"/>
      <c r="M785" s="25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ht="18.0" customHeight="1">
      <c r="A786" s="27">
        <v>501.0</v>
      </c>
      <c r="B786" s="28" t="s">
        <v>1636</v>
      </c>
      <c r="C786" s="28">
        <v>50104.0</v>
      </c>
      <c r="D786" s="28" t="s">
        <v>1669</v>
      </c>
      <c r="E786" s="28" t="s">
        <v>1670</v>
      </c>
      <c r="F786" s="28">
        <v>3.0</v>
      </c>
      <c r="G786" s="28" t="s">
        <v>44</v>
      </c>
      <c r="H786" s="28" t="s">
        <v>57</v>
      </c>
      <c r="I786" s="28" t="s">
        <v>57</v>
      </c>
      <c r="J786" s="28"/>
      <c r="K786" s="29" t="s">
        <v>58</v>
      </c>
      <c r="L786" s="26"/>
      <c r="M786" s="25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ht="18.0" customHeight="1">
      <c r="A787" s="27">
        <v>501.0</v>
      </c>
      <c r="B787" s="28" t="s">
        <v>1636</v>
      </c>
      <c r="C787" s="28">
        <v>50105.0</v>
      </c>
      <c r="D787" s="28" t="s">
        <v>1671</v>
      </c>
      <c r="E787" s="28" t="s">
        <v>1672</v>
      </c>
      <c r="F787" s="28">
        <v>3.0</v>
      </c>
      <c r="G787" s="28" t="s">
        <v>44</v>
      </c>
      <c r="H787" s="28" t="s">
        <v>57</v>
      </c>
      <c r="I787" s="28" t="s">
        <v>57</v>
      </c>
      <c r="J787" s="28"/>
      <c r="K787" s="29" t="s">
        <v>58</v>
      </c>
      <c r="L787" s="26"/>
      <c r="M787" s="25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ht="18.0" customHeight="1">
      <c r="A788" s="27">
        <v>501.0</v>
      </c>
      <c r="B788" s="28" t="s">
        <v>1636</v>
      </c>
      <c r="C788" s="28">
        <v>150105.0</v>
      </c>
      <c r="D788" s="28" t="s">
        <v>1673</v>
      </c>
      <c r="E788" s="28" t="s">
        <v>1674</v>
      </c>
      <c r="F788" s="28">
        <v>3.0</v>
      </c>
      <c r="G788" s="28" t="s">
        <v>41</v>
      </c>
      <c r="H788" s="28" t="s">
        <v>130</v>
      </c>
      <c r="I788" s="28" t="s">
        <v>53</v>
      </c>
      <c r="J788" s="28">
        <v>519413.0</v>
      </c>
      <c r="K788" s="29" t="s">
        <v>54</v>
      </c>
      <c r="L788" s="26"/>
      <c r="M788" s="25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ht="18.0" customHeight="1">
      <c r="A789" s="27">
        <v>501.0</v>
      </c>
      <c r="B789" s="28" t="s">
        <v>1636</v>
      </c>
      <c r="C789" s="28">
        <v>150106.0</v>
      </c>
      <c r="D789" s="28" t="s">
        <v>1675</v>
      </c>
      <c r="E789" s="28" t="s">
        <v>1676</v>
      </c>
      <c r="F789" s="28">
        <v>3.0</v>
      </c>
      <c r="G789" s="28" t="s">
        <v>41</v>
      </c>
      <c r="H789" s="28" t="s">
        <v>130</v>
      </c>
      <c r="I789" s="28" t="s">
        <v>53</v>
      </c>
      <c r="J789" s="28">
        <v>519409.0</v>
      </c>
      <c r="K789" s="29" t="s">
        <v>54</v>
      </c>
      <c r="L789" s="26"/>
      <c r="M789" s="25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ht="18.0" customHeight="1">
      <c r="A790" s="27">
        <v>501.0</v>
      </c>
      <c r="B790" s="28" t="s">
        <v>1636</v>
      </c>
      <c r="C790" s="28">
        <v>150108.0</v>
      </c>
      <c r="D790" s="28" t="s">
        <v>1677</v>
      </c>
      <c r="E790" s="28" t="s">
        <v>1678</v>
      </c>
      <c r="F790" s="28">
        <v>3.0</v>
      </c>
      <c r="G790" s="28" t="s">
        <v>41</v>
      </c>
      <c r="H790" s="28" t="s">
        <v>130</v>
      </c>
      <c r="I790" s="28" t="s">
        <v>53</v>
      </c>
      <c r="J790" s="28">
        <v>519403.0</v>
      </c>
      <c r="K790" s="29" t="s">
        <v>58</v>
      </c>
      <c r="L790" s="26"/>
      <c r="M790" s="25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ht="18.0" customHeight="1">
      <c r="A791" s="27">
        <v>501.0</v>
      </c>
      <c r="B791" s="28" t="s">
        <v>1636</v>
      </c>
      <c r="C791" s="28">
        <v>150110.0</v>
      </c>
      <c r="D791" s="28" t="s">
        <v>1679</v>
      </c>
      <c r="E791" s="28" t="s">
        <v>1680</v>
      </c>
      <c r="F791" s="28">
        <v>3.0</v>
      </c>
      <c r="G791" s="28" t="s">
        <v>41</v>
      </c>
      <c r="H791" s="28" t="s">
        <v>130</v>
      </c>
      <c r="I791" s="28" t="s">
        <v>53</v>
      </c>
      <c r="J791" s="28">
        <v>519416.0</v>
      </c>
      <c r="K791" s="29" t="s">
        <v>54</v>
      </c>
      <c r="L791" s="26"/>
      <c r="M791" s="25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ht="18.0" customHeight="1">
      <c r="A792" s="27">
        <v>501.0</v>
      </c>
      <c r="B792" s="28" t="s">
        <v>1636</v>
      </c>
      <c r="C792" s="28">
        <v>150111.0</v>
      </c>
      <c r="D792" s="28" t="s">
        <v>1681</v>
      </c>
      <c r="E792" s="28" t="s">
        <v>1682</v>
      </c>
      <c r="F792" s="28">
        <v>3.0</v>
      </c>
      <c r="G792" s="28" t="s">
        <v>41</v>
      </c>
      <c r="H792" s="28" t="s">
        <v>130</v>
      </c>
      <c r="I792" s="28" t="s">
        <v>53</v>
      </c>
      <c r="J792" s="28"/>
      <c r="K792" s="29" t="s">
        <v>54</v>
      </c>
      <c r="L792" s="26"/>
      <c r="M792" s="25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ht="18.0" customHeight="1">
      <c r="A793" s="27">
        <v>501.0</v>
      </c>
      <c r="B793" s="28" t="s">
        <v>1636</v>
      </c>
      <c r="C793" s="28">
        <v>150112.0</v>
      </c>
      <c r="D793" s="28" t="s">
        <v>1683</v>
      </c>
      <c r="E793" s="28" t="s">
        <v>1684</v>
      </c>
      <c r="F793" s="28">
        <v>3.0</v>
      </c>
      <c r="G793" s="28" t="s">
        <v>41</v>
      </c>
      <c r="H793" s="28" t="s">
        <v>57</v>
      </c>
      <c r="I793" s="28" t="s">
        <v>57</v>
      </c>
      <c r="J793" s="28"/>
      <c r="K793" s="29" t="s">
        <v>58</v>
      </c>
      <c r="L793" s="26"/>
      <c r="M793" s="25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ht="18.0" customHeight="1">
      <c r="A794" s="27">
        <v>501.0</v>
      </c>
      <c r="B794" s="28" t="s">
        <v>1636</v>
      </c>
      <c r="C794" s="28">
        <v>150113.0</v>
      </c>
      <c r="D794" s="28" t="s">
        <v>1685</v>
      </c>
      <c r="E794" s="28" t="s">
        <v>1686</v>
      </c>
      <c r="F794" s="28">
        <v>3.0</v>
      </c>
      <c r="G794" s="28" t="s">
        <v>41</v>
      </c>
      <c r="H794" s="28" t="s">
        <v>130</v>
      </c>
      <c r="I794" s="28" t="s">
        <v>53</v>
      </c>
      <c r="J794" s="28"/>
      <c r="K794" s="29" t="s">
        <v>54</v>
      </c>
      <c r="L794" s="26"/>
      <c r="M794" s="25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ht="18.0" customHeight="1">
      <c r="A795" s="27">
        <v>501.0</v>
      </c>
      <c r="B795" s="28" t="s">
        <v>1636</v>
      </c>
      <c r="C795" s="28">
        <v>150117.0</v>
      </c>
      <c r="D795" s="28" t="s">
        <v>1687</v>
      </c>
      <c r="E795" s="28" t="s">
        <v>1688</v>
      </c>
      <c r="F795" s="28">
        <v>3.0</v>
      </c>
      <c r="G795" s="28" t="s">
        <v>41</v>
      </c>
      <c r="H795" s="28" t="s">
        <v>130</v>
      </c>
      <c r="I795" s="28" t="s">
        <v>53</v>
      </c>
      <c r="J795" s="28"/>
      <c r="K795" s="29" t="s">
        <v>58</v>
      </c>
      <c r="L795" s="30" t="s">
        <v>332</v>
      </c>
      <c r="M795" s="25" t="s">
        <v>333</v>
      </c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ht="18.0" customHeight="1">
      <c r="A796" s="27">
        <v>501.0</v>
      </c>
      <c r="B796" s="28" t="s">
        <v>1636</v>
      </c>
      <c r="C796" s="28">
        <v>50101.0</v>
      </c>
      <c r="D796" s="28" t="s">
        <v>1689</v>
      </c>
      <c r="E796" s="28" t="s">
        <v>1690</v>
      </c>
      <c r="F796" s="28">
        <v>4.0</v>
      </c>
      <c r="G796" s="28" t="s">
        <v>41</v>
      </c>
      <c r="H796" s="28" t="s">
        <v>130</v>
      </c>
      <c r="I796" s="28" t="s">
        <v>53</v>
      </c>
      <c r="J796" s="28"/>
      <c r="K796" s="29" t="s">
        <v>54</v>
      </c>
      <c r="L796" s="26"/>
      <c r="M796" s="25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ht="18.0" customHeight="1">
      <c r="A797" s="27">
        <v>501.0</v>
      </c>
      <c r="B797" s="28" t="s">
        <v>1636</v>
      </c>
      <c r="C797" s="28">
        <v>50102.0</v>
      </c>
      <c r="D797" s="28" t="s">
        <v>1691</v>
      </c>
      <c r="E797" s="28" t="s">
        <v>1692</v>
      </c>
      <c r="F797" s="28">
        <v>4.0</v>
      </c>
      <c r="G797" s="28" t="s">
        <v>44</v>
      </c>
      <c r="H797" s="28" t="s">
        <v>119</v>
      </c>
      <c r="I797" s="28" t="s">
        <v>53</v>
      </c>
      <c r="J797" s="28"/>
      <c r="K797" s="29" t="s">
        <v>54</v>
      </c>
      <c r="L797" s="26"/>
      <c r="M797" s="25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ht="18.0" customHeight="1">
      <c r="A798" s="27">
        <v>501.0</v>
      </c>
      <c r="B798" s="28" t="s">
        <v>1636</v>
      </c>
      <c r="C798" s="28">
        <v>50103.0</v>
      </c>
      <c r="D798" s="28" t="s">
        <v>1693</v>
      </c>
      <c r="E798" s="28" t="s">
        <v>1694</v>
      </c>
      <c r="F798" s="28">
        <v>4.0</v>
      </c>
      <c r="G798" s="28" t="s">
        <v>44</v>
      </c>
      <c r="H798" s="28" t="s">
        <v>119</v>
      </c>
      <c r="I798" s="28" t="s">
        <v>53</v>
      </c>
      <c r="J798" s="28">
        <v>513281.0</v>
      </c>
      <c r="K798" s="29" t="s">
        <v>54</v>
      </c>
      <c r="L798" s="26"/>
      <c r="M798" s="25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ht="18.0" customHeight="1">
      <c r="A799" s="27">
        <v>501.0</v>
      </c>
      <c r="B799" s="28" t="s">
        <v>1636</v>
      </c>
      <c r="C799" s="28">
        <v>50110.0</v>
      </c>
      <c r="D799" s="28" t="s">
        <v>1695</v>
      </c>
      <c r="E799" s="28" t="s">
        <v>1696</v>
      </c>
      <c r="F799" s="28">
        <v>4.0</v>
      </c>
      <c r="G799" s="28" t="s">
        <v>41</v>
      </c>
      <c r="H799" s="28" t="s">
        <v>130</v>
      </c>
      <c r="I799" s="28" t="s">
        <v>53</v>
      </c>
      <c r="J799" s="28"/>
      <c r="K799" s="29" t="s">
        <v>54</v>
      </c>
      <c r="L799" s="26"/>
      <c r="M799" s="25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ht="18.0" customHeight="1">
      <c r="A800" s="27">
        <v>501.0</v>
      </c>
      <c r="B800" s="28" t="s">
        <v>1636</v>
      </c>
      <c r="C800" s="28">
        <v>350101.0</v>
      </c>
      <c r="D800" s="28" t="s">
        <v>1697</v>
      </c>
      <c r="E800" s="28" t="s">
        <v>1698</v>
      </c>
      <c r="F800" s="28">
        <v>4.0</v>
      </c>
      <c r="G800" s="28" t="s">
        <v>44</v>
      </c>
      <c r="H800" s="28" t="s">
        <v>119</v>
      </c>
      <c r="I800" s="28" t="s">
        <v>53</v>
      </c>
      <c r="J800" s="28"/>
      <c r="K800" s="29" t="s">
        <v>54</v>
      </c>
      <c r="L800" s="26"/>
      <c r="M800" s="25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ht="18.0" customHeight="1">
      <c r="A801" s="27">
        <v>504.0</v>
      </c>
      <c r="B801" s="28" t="s">
        <v>1699</v>
      </c>
      <c r="C801" s="28">
        <v>350401.0</v>
      </c>
      <c r="D801" s="28" t="s">
        <v>1700</v>
      </c>
      <c r="E801" s="28" t="s">
        <v>1701</v>
      </c>
      <c r="F801" s="28">
        <v>1.0</v>
      </c>
      <c r="G801" s="28" t="s">
        <v>41</v>
      </c>
      <c r="H801" s="28" t="s">
        <v>57</v>
      </c>
      <c r="I801" s="28" t="s">
        <v>57</v>
      </c>
      <c r="J801" s="28"/>
      <c r="K801" s="29" t="s">
        <v>58</v>
      </c>
      <c r="L801" s="26"/>
      <c r="M801" s="25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ht="18.0" customHeight="1">
      <c r="A802" s="27">
        <v>504.0</v>
      </c>
      <c r="B802" s="28" t="s">
        <v>1699</v>
      </c>
      <c r="C802" s="28">
        <v>350402.0</v>
      </c>
      <c r="D802" s="28" t="s">
        <v>1702</v>
      </c>
      <c r="E802" s="28" t="s">
        <v>1703</v>
      </c>
      <c r="F802" s="28">
        <v>1.0</v>
      </c>
      <c r="G802" s="28" t="s">
        <v>41</v>
      </c>
      <c r="H802" s="28" t="s">
        <v>57</v>
      </c>
      <c r="I802" s="28" t="s">
        <v>57</v>
      </c>
      <c r="J802" s="28"/>
      <c r="K802" s="29" t="s">
        <v>58</v>
      </c>
      <c r="L802" s="26"/>
      <c r="M802" s="25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ht="18.0" customHeight="1">
      <c r="A803" s="27">
        <v>504.0</v>
      </c>
      <c r="B803" s="28" t="s">
        <v>1699</v>
      </c>
      <c r="C803" s="28">
        <v>350403.0</v>
      </c>
      <c r="D803" s="28" t="s">
        <v>1704</v>
      </c>
      <c r="E803" s="28" t="s">
        <v>1705</v>
      </c>
      <c r="F803" s="28">
        <v>1.0</v>
      </c>
      <c r="G803" s="28" t="s">
        <v>41</v>
      </c>
      <c r="H803" s="28" t="s">
        <v>57</v>
      </c>
      <c r="I803" s="28" t="s">
        <v>57</v>
      </c>
      <c r="J803" s="28"/>
      <c r="K803" s="29" t="s">
        <v>58</v>
      </c>
      <c r="L803" s="26"/>
      <c r="M803" s="25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ht="18.0" customHeight="1">
      <c r="A804" s="27">
        <v>504.0</v>
      </c>
      <c r="B804" s="28" t="s">
        <v>1699</v>
      </c>
      <c r="C804" s="28">
        <v>350404.0</v>
      </c>
      <c r="D804" s="28" t="s">
        <v>1706</v>
      </c>
      <c r="E804" s="28" t="s">
        <v>1707</v>
      </c>
      <c r="F804" s="28">
        <v>1.0</v>
      </c>
      <c r="G804" s="28" t="s">
        <v>41</v>
      </c>
      <c r="H804" s="28" t="s">
        <v>52</v>
      </c>
      <c r="I804" s="28" t="s">
        <v>53</v>
      </c>
      <c r="J804" s="28"/>
      <c r="K804" s="29" t="s">
        <v>54</v>
      </c>
      <c r="L804" s="26"/>
      <c r="M804" s="25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ht="18.0" customHeight="1">
      <c r="A805" s="27">
        <v>504.0</v>
      </c>
      <c r="B805" s="28" t="s">
        <v>1699</v>
      </c>
      <c r="C805" s="28">
        <v>350405.0</v>
      </c>
      <c r="D805" s="28" t="s">
        <v>1708</v>
      </c>
      <c r="E805" s="28" t="s">
        <v>1709</v>
      </c>
      <c r="F805" s="28">
        <v>1.0</v>
      </c>
      <c r="G805" s="28" t="s">
        <v>41</v>
      </c>
      <c r="H805" s="28" t="s">
        <v>57</v>
      </c>
      <c r="I805" s="28" t="s">
        <v>57</v>
      </c>
      <c r="J805" s="28"/>
      <c r="K805" s="29" t="s">
        <v>58</v>
      </c>
      <c r="L805" s="26"/>
      <c r="M805" s="25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ht="18.0" customHeight="1">
      <c r="A806" s="27">
        <v>504.0</v>
      </c>
      <c r="B806" s="28" t="s">
        <v>1699</v>
      </c>
      <c r="C806" s="28">
        <v>350406.0</v>
      </c>
      <c r="D806" s="28" t="s">
        <v>1710</v>
      </c>
      <c r="E806" s="28" t="s">
        <v>1711</v>
      </c>
      <c r="F806" s="28">
        <v>1.0</v>
      </c>
      <c r="G806" s="28" t="s">
        <v>41</v>
      </c>
      <c r="H806" s="28" t="s">
        <v>57</v>
      </c>
      <c r="I806" s="28" t="s">
        <v>57</v>
      </c>
      <c r="J806" s="28"/>
      <c r="K806" s="29" t="s">
        <v>58</v>
      </c>
      <c r="L806" s="26"/>
      <c r="M806" s="25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ht="18.0" customHeight="1">
      <c r="A807" s="27">
        <v>504.0</v>
      </c>
      <c r="B807" s="28" t="s">
        <v>1699</v>
      </c>
      <c r="C807" s="28">
        <v>350407.0</v>
      </c>
      <c r="D807" s="28" t="s">
        <v>1712</v>
      </c>
      <c r="E807" s="28" t="s">
        <v>1713</v>
      </c>
      <c r="F807" s="28">
        <v>1.0</v>
      </c>
      <c r="G807" s="28" t="s">
        <v>41</v>
      </c>
      <c r="H807" s="28" t="s">
        <v>57</v>
      </c>
      <c r="I807" s="28" t="s">
        <v>57</v>
      </c>
      <c r="J807" s="28"/>
      <c r="K807" s="29" t="s">
        <v>58</v>
      </c>
      <c r="L807" s="26"/>
      <c r="M807" s="25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ht="18.0" customHeight="1">
      <c r="A808" s="27">
        <v>504.0</v>
      </c>
      <c r="B808" s="28" t="s">
        <v>1699</v>
      </c>
      <c r="C808" s="28">
        <v>350408.0</v>
      </c>
      <c r="D808" s="28" t="s">
        <v>1714</v>
      </c>
      <c r="E808" s="28" t="s">
        <v>1715</v>
      </c>
      <c r="F808" s="28">
        <v>1.0</v>
      </c>
      <c r="G808" s="28" t="s">
        <v>41</v>
      </c>
      <c r="H808" s="28" t="s">
        <v>57</v>
      </c>
      <c r="I808" s="28" t="s">
        <v>57</v>
      </c>
      <c r="J808" s="28"/>
      <c r="K808" s="29" t="s">
        <v>58</v>
      </c>
      <c r="L808" s="26"/>
      <c r="M808" s="25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ht="18.0" customHeight="1">
      <c r="A809" s="27">
        <v>504.0</v>
      </c>
      <c r="B809" s="28" t="s">
        <v>1699</v>
      </c>
      <c r="C809" s="28">
        <v>350409.0</v>
      </c>
      <c r="D809" s="28" t="s">
        <v>1716</v>
      </c>
      <c r="E809" s="28" t="s">
        <v>1717</v>
      </c>
      <c r="F809" s="28">
        <v>1.0</v>
      </c>
      <c r="G809" s="28" t="s">
        <v>44</v>
      </c>
      <c r="H809" s="28" t="s">
        <v>61</v>
      </c>
      <c r="I809" s="28" t="s">
        <v>53</v>
      </c>
      <c r="J809" s="28">
        <v>525155.0</v>
      </c>
      <c r="K809" s="29" t="s">
        <v>54</v>
      </c>
      <c r="L809" s="26"/>
      <c r="M809" s="25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ht="18.0" customHeight="1">
      <c r="A810" s="27">
        <v>504.0</v>
      </c>
      <c r="B810" s="28" t="s">
        <v>1699</v>
      </c>
      <c r="C810" s="28">
        <v>350410.0</v>
      </c>
      <c r="D810" s="28" t="s">
        <v>1718</v>
      </c>
      <c r="E810" s="28" t="s">
        <v>1719</v>
      </c>
      <c r="F810" s="28">
        <v>1.0</v>
      </c>
      <c r="G810" s="28" t="s">
        <v>41</v>
      </c>
      <c r="H810" s="28" t="s">
        <v>57</v>
      </c>
      <c r="I810" s="28" t="s">
        <v>57</v>
      </c>
      <c r="J810" s="28"/>
      <c r="K810" s="29" t="s">
        <v>58</v>
      </c>
      <c r="L810" s="26"/>
      <c r="M810" s="25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ht="18.0" customHeight="1">
      <c r="A811" s="27">
        <v>504.0</v>
      </c>
      <c r="B811" s="28" t="s">
        <v>1699</v>
      </c>
      <c r="C811" s="28">
        <v>350411.0</v>
      </c>
      <c r="D811" s="28" t="s">
        <v>1720</v>
      </c>
      <c r="E811" s="28" t="s">
        <v>1721</v>
      </c>
      <c r="F811" s="28">
        <v>1.0</v>
      </c>
      <c r="G811" s="28" t="s">
        <v>41</v>
      </c>
      <c r="H811" s="28" t="s">
        <v>57</v>
      </c>
      <c r="I811" s="28" t="s">
        <v>57</v>
      </c>
      <c r="J811" s="28"/>
      <c r="K811" s="29" t="s">
        <v>58</v>
      </c>
      <c r="L811" s="26"/>
      <c r="M811" s="25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ht="18.0" customHeight="1">
      <c r="A812" s="27">
        <v>504.0</v>
      </c>
      <c r="B812" s="28" t="s">
        <v>1699</v>
      </c>
      <c r="C812" s="28">
        <v>350412.0</v>
      </c>
      <c r="D812" s="28" t="s">
        <v>1722</v>
      </c>
      <c r="E812" s="28" t="s">
        <v>1723</v>
      </c>
      <c r="F812" s="28">
        <v>1.0</v>
      </c>
      <c r="G812" s="28" t="s">
        <v>44</v>
      </c>
      <c r="H812" s="28" t="s">
        <v>61</v>
      </c>
      <c r="I812" s="28" t="s">
        <v>53</v>
      </c>
      <c r="J812" s="28">
        <v>525172.0</v>
      </c>
      <c r="K812" s="29" t="s">
        <v>54</v>
      </c>
      <c r="L812" s="26"/>
      <c r="M812" s="25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ht="18.0" customHeight="1">
      <c r="A813" s="27">
        <v>504.0</v>
      </c>
      <c r="B813" s="28" t="s">
        <v>1699</v>
      </c>
      <c r="C813" s="28">
        <v>350413.0</v>
      </c>
      <c r="D813" s="28" t="s">
        <v>1724</v>
      </c>
      <c r="E813" s="28" t="s">
        <v>1725</v>
      </c>
      <c r="F813" s="28">
        <v>1.0</v>
      </c>
      <c r="G813" s="28" t="s">
        <v>41</v>
      </c>
      <c r="H813" s="28" t="s">
        <v>57</v>
      </c>
      <c r="I813" s="28" t="s">
        <v>57</v>
      </c>
      <c r="J813" s="28"/>
      <c r="K813" s="29" t="s">
        <v>54</v>
      </c>
      <c r="L813" s="26"/>
      <c r="M813" s="25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ht="18.0" customHeight="1">
      <c r="A814" s="27">
        <v>504.0</v>
      </c>
      <c r="B814" s="28" t="s">
        <v>1699</v>
      </c>
      <c r="C814" s="28">
        <v>350414.0</v>
      </c>
      <c r="D814" s="28" t="s">
        <v>1726</v>
      </c>
      <c r="E814" s="28" t="s">
        <v>1727</v>
      </c>
      <c r="F814" s="28">
        <v>1.0</v>
      </c>
      <c r="G814" s="28" t="s">
        <v>41</v>
      </c>
      <c r="H814" s="28" t="s">
        <v>52</v>
      </c>
      <c r="I814" s="28" t="s">
        <v>53</v>
      </c>
      <c r="J814" s="28"/>
      <c r="K814" s="29" t="s">
        <v>54</v>
      </c>
      <c r="L814" s="26"/>
      <c r="M814" s="25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ht="18.0" customHeight="1">
      <c r="A815" s="27">
        <v>504.0</v>
      </c>
      <c r="B815" s="28" t="s">
        <v>1699</v>
      </c>
      <c r="C815" s="28">
        <v>350415.0</v>
      </c>
      <c r="D815" s="28" t="s">
        <v>1728</v>
      </c>
      <c r="E815" s="28" t="s">
        <v>1729</v>
      </c>
      <c r="F815" s="28">
        <v>1.0</v>
      </c>
      <c r="G815" s="28" t="s">
        <v>41</v>
      </c>
      <c r="H815" s="28" t="s">
        <v>57</v>
      </c>
      <c r="I815" s="28" t="s">
        <v>57</v>
      </c>
      <c r="J815" s="28"/>
      <c r="K815" s="29" t="s">
        <v>58</v>
      </c>
      <c r="L815" s="26"/>
      <c r="M815" s="25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ht="18.0" customHeight="1">
      <c r="A816" s="27">
        <v>504.0</v>
      </c>
      <c r="B816" s="28" t="s">
        <v>1699</v>
      </c>
      <c r="C816" s="28">
        <v>350416.0</v>
      </c>
      <c r="D816" s="28" t="s">
        <v>1730</v>
      </c>
      <c r="E816" s="28" t="s">
        <v>1731</v>
      </c>
      <c r="F816" s="28">
        <v>1.0</v>
      </c>
      <c r="G816" s="28" t="s">
        <v>41</v>
      </c>
      <c r="H816" s="28" t="s">
        <v>57</v>
      </c>
      <c r="I816" s="28" t="s">
        <v>57</v>
      </c>
      <c r="J816" s="28"/>
      <c r="K816" s="29" t="s">
        <v>58</v>
      </c>
      <c r="L816" s="26"/>
      <c r="M816" s="25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ht="18.0" customHeight="1">
      <c r="A817" s="27">
        <v>504.0</v>
      </c>
      <c r="B817" s="28" t="s">
        <v>1699</v>
      </c>
      <c r="C817" s="28">
        <v>350417.0</v>
      </c>
      <c r="D817" s="28" t="s">
        <v>1732</v>
      </c>
      <c r="E817" s="28" t="s">
        <v>1733</v>
      </c>
      <c r="F817" s="28">
        <v>1.0</v>
      </c>
      <c r="G817" s="28" t="s">
        <v>41</v>
      </c>
      <c r="H817" s="28" t="s">
        <v>57</v>
      </c>
      <c r="I817" s="28" t="s">
        <v>57</v>
      </c>
      <c r="J817" s="28"/>
      <c r="K817" s="29" t="s">
        <v>58</v>
      </c>
      <c r="L817" s="26"/>
      <c r="M817" s="25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ht="18.0" customHeight="1">
      <c r="A818" s="27">
        <v>504.0</v>
      </c>
      <c r="B818" s="28" t="s">
        <v>1699</v>
      </c>
      <c r="C818" s="28">
        <v>350418.0</v>
      </c>
      <c r="D818" s="28" t="s">
        <v>1734</v>
      </c>
      <c r="E818" s="28" t="s">
        <v>1735</v>
      </c>
      <c r="F818" s="28">
        <v>1.0</v>
      </c>
      <c r="G818" s="28" t="s">
        <v>41</v>
      </c>
      <c r="H818" s="28" t="s">
        <v>57</v>
      </c>
      <c r="I818" s="28" t="s">
        <v>57</v>
      </c>
      <c r="J818" s="28"/>
      <c r="K818" s="29" t="s">
        <v>58</v>
      </c>
      <c r="L818" s="26"/>
      <c r="M818" s="25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ht="18.0" customHeight="1">
      <c r="A819" s="27">
        <v>504.0</v>
      </c>
      <c r="B819" s="28" t="s">
        <v>1699</v>
      </c>
      <c r="C819" s="28">
        <v>350419.0</v>
      </c>
      <c r="D819" s="28" t="s">
        <v>1736</v>
      </c>
      <c r="E819" s="28" t="s">
        <v>1737</v>
      </c>
      <c r="F819" s="28">
        <v>1.0</v>
      </c>
      <c r="G819" s="28" t="s">
        <v>41</v>
      </c>
      <c r="H819" s="28" t="s">
        <v>52</v>
      </c>
      <c r="I819" s="28" t="s">
        <v>53</v>
      </c>
      <c r="J819" s="28">
        <v>525174.0</v>
      </c>
      <c r="K819" s="29" t="s">
        <v>54</v>
      </c>
      <c r="L819" s="26"/>
      <c r="M819" s="25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ht="18.0" customHeight="1">
      <c r="A820" s="27">
        <v>504.0</v>
      </c>
      <c r="B820" s="28" t="s">
        <v>1699</v>
      </c>
      <c r="C820" s="28">
        <v>350420.0</v>
      </c>
      <c r="D820" s="28" t="s">
        <v>1738</v>
      </c>
      <c r="E820" s="28" t="s">
        <v>1739</v>
      </c>
      <c r="F820" s="28">
        <v>1.0</v>
      </c>
      <c r="G820" s="28" t="s">
        <v>44</v>
      </c>
      <c r="H820" s="28" t="s">
        <v>61</v>
      </c>
      <c r="I820" s="28" t="s">
        <v>53</v>
      </c>
      <c r="J820" s="28">
        <v>525162.0</v>
      </c>
      <c r="K820" s="29" t="s">
        <v>54</v>
      </c>
      <c r="L820" s="26"/>
      <c r="M820" s="25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ht="18.0" customHeight="1">
      <c r="A821" s="27">
        <v>504.0</v>
      </c>
      <c r="B821" s="28" t="s">
        <v>1699</v>
      </c>
      <c r="C821" s="28">
        <v>350421.0</v>
      </c>
      <c r="D821" s="28" t="s">
        <v>1740</v>
      </c>
      <c r="E821" s="28" t="s">
        <v>1741</v>
      </c>
      <c r="F821" s="28">
        <v>1.0</v>
      </c>
      <c r="G821" s="28" t="s">
        <v>44</v>
      </c>
      <c r="H821" s="28" t="s">
        <v>57</v>
      </c>
      <c r="I821" s="28" t="s">
        <v>57</v>
      </c>
      <c r="J821" s="28"/>
      <c r="K821" s="29" t="s">
        <v>58</v>
      </c>
      <c r="L821" s="26"/>
      <c r="M821" s="25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ht="18.0" customHeight="1">
      <c r="A822" s="27">
        <v>504.0</v>
      </c>
      <c r="B822" s="28" t="s">
        <v>1699</v>
      </c>
      <c r="C822" s="28">
        <v>350422.0</v>
      </c>
      <c r="D822" s="28" t="s">
        <v>1742</v>
      </c>
      <c r="E822" s="28" t="s">
        <v>1743</v>
      </c>
      <c r="F822" s="28">
        <v>1.0</v>
      </c>
      <c r="G822" s="28" t="s">
        <v>41</v>
      </c>
      <c r="H822" s="28" t="s">
        <v>57</v>
      </c>
      <c r="I822" s="28" t="s">
        <v>57</v>
      </c>
      <c r="J822" s="28"/>
      <c r="K822" s="29" t="s">
        <v>58</v>
      </c>
      <c r="L822" s="26"/>
      <c r="M822" s="25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ht="18.0" customHeight="1">
      <c r="A823" s="27">
        <v>504.0</v>
      </c>
      <c r="B823" s="28" t="s">
        <v>1699</v>
      </c>
      <c r="C823" s="28">
        <v>350423.0</v>
      </c>
      <c r="D823" s="28" t="s">
        <v>1744</v>
      </c>
      <c r="E823" s="28" t="s">
        <v>1745</v>
      </c>
      <c r="F823" s="28">
        <v>1.0</v>
      </c>
      <c r="G823" s="28" t="s">
        <v>44</v>
      </c>
      <c r="H823" s="28" t="s">
        <v>57</v>
      </c>
      <c r="I823" s="28" t="s">
        <v>57</v>
      </c>
      <c r="J823" s="28"/>
      <c r="K823" s="29" t="s">
        <v>58</v>
      </c>
      <c r="L823" s="26"/>
      <c r="M823" s="25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ht="18.0" customHeight="1">
      <c r="A824" s="27">
        <v>504.0</v>
      </c>
      <c r="B824" s="28" t="s">
        <v>1699</v>
      </c>
      <c r="C824" s="28">
        <v>350424.0</v>
      </c>
      <c r="D824" s="28" t="s">
        <v>1746</v>
      </c>
      <c r="E824" s="28" t="s">
        <v>1747</v>
      </c>
      <c r="F824" s="28">
        <v>1.0</v>
      </c>
      <c r="G824" s="28" t="s">
        <v>41</v>
      </c>
      <c r="H824" s="28" t="s">
        <v>52</v>
      </c>
      <c r="I824" s="28" t="s">
        <v>53</v>
      </c>
      <c r="J824" s="28"/>
      <c r="K824" s="29" t="s">
        <v>54</v>
      </c>
      <c r="L824" s="26"/>
      <c r="M824" s="25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ht="18.0" customHeight="1">
      <c r="A825" s="27">
        <v>504.0</v>
      </c>
      <c r="B825" s="28" t="s">
        <v>1699</v>
      </c>
      <c r="C825" s="28">
        <v>350425.0</v>
      </c>
      <c r="D825" s="28" t="s">
        <v>1748</v>
      </c>
      <c r="E825" s="28" t="s">
        <v>1749</v>
      </c>
      <c r="F825" s="28">
        <v>1.0</v>
      </c>
      <c r="G825" s="28" t="s">
        <v>44</v>
      </c>
      <c r="H825" s="28" t="s">
        <v>57</v>
      </c>
      <c r="I825" s="28" t="s">
        <v>57</v>
      </c>
      <c r="J825" s="28"/>
      <c r="K825" s="29" t="s">
        <v>58</v>
      </c>
      <c r="L825" s="26"/>
      <c r="M825" s="25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ht="18.0" customHeight="1">
      <c r="A826" s="27">
        <v>504.0</v>
      </c>
      <c r="B826" s="28" t="s">
        <v>1699</v>
      </c>
      <c r="C826" s="28">
        <v>350426.0</v>
      </c>
      <c r="D826" s="28" t="s">
        <v>1750</v>
      </c>
      <c r="E826" s="28" t="s">
        <v>1751</v>
      </c>
      <c r="F826" s="28">
        <v>1.0</v>
      </c>
      <c r="G826" s="28" t="s">
        <v>44</v>
      </c>
      <c r="H826" s="28" t="s">
        <v>61</v>
      </c>
      <c r="I826" s="28" t="s">
        <v>53</v>
      </c>
      <c r="J826" s="28">
        <v>525152.0</v>
      </c>
      <c r="K826" s="29" t="s">
        <v>54</v>
      </c>
      <c r="L826" s="26"/>
      <c r="M826" s="25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ht="18.0" customHeight="1">
      <c r="A827" s="27">
        <v>504.0</v>
      </c>
      <c r="B827" s="28" t="s">
        <v>1699</v>
      </c>
      <c r="C827" s="28">
        <v>350427.0</v>
      </c>
      <c r="D827" s="28" t="s">
        <v>1752</v>
      </c>
      <c r="E827" s="28" t="s">
        <v>1753</v>
      </c>
      <c r="F827" s="28">
        <v>1.0</v>
      </c>
      <c r="G827" s="28" t="s">
        <v>41</v>
      </c>
      <c r="H827" s="28" t="s">
        <v>57</v>
      </c>
      <c r="I827" s="28" t="s">
        <v>57</v>
      </c>
      <c r="J827" s="28"/>
      <c r="K827" s="29" t="s">
        <v>58</v>
      </c>
      <c r="L827" s="26"/>
      <c r="M827" s="25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ht="18.0" customHeight="1">
      <c r="A828" s="27">
        <v>504.0</v>
      </c>
      <c r="B828" s="28" t="s">
        <v>1699</v>
      </c>
      <c r="C828" s="28">
        <v>350428.0</v>
      </c>
      <c r="D828" s="28" t="s">
        <v>1754</v>
      </c>
      <c r="E828" s="28" t="s">
        <v>1755</v>
      </c>
      <c r="F828" s="28">
        <v>1.0</v>
      </c>
      <c r="G828" s="28" t="s">
        <v>41</v>
      </c>
      <c r="H828" s="28" t="s">
        <v>52</v>
      </c>
      <c r="I828" s="28" t="s">
        <v>53</v>
      </c>
      <c r="J828" s="28"/>
      <c r="K828" s="29" t="s">
        <v>54</v>
      </c>
      <c r="L828" s="26"/>
      <c r="M828" s="25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ht="18.0" customHeight="1">
      <c r="A829" s="27">
        <v>504.0</v>
      </c>
      <c r="B829" s="28" t="s">
        <v>1699</v>
      </c>
      <c r="C829" s="28">
        <v>350429.0</v>
      </c>
      <c r="D829" s="28" t="s">
        <v>1756</v>
      </c>
      <c r="E829" s="28" t="s">
        <v>1757</v>
      </c>
      <c r="F829" s="28">
        <v>1.0</v>
      </c>
      <c r="G829" s="28" t="s">
        <v>41</v>
      </c>
      <c r="H829" s="28" t="s">
        <v>57</v>
      </c>
      <c r="I829" s="28" t="s">
        <v>57</v>
      </c>
      <c r="J829" s="28"/>
      <c r="K829" s="29" t="s">
        <v>58</v>
      </c>
      <c r="L829" s="26"/>
      <c r="M829" s="25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ht="18.0" customHeight="1">
      <c r="A830" s="27">
        <v>504.0</v>
      </c>
      <c r="B830" s="28" t="s">
        <v>1699</v>
      </c>
      <c r="C830" s="28">
        <v>350430.0</v>
      </c>
      <c r="D830" s="28" t="s">
        <v>1758</v>
      </c>
      <c r="E830" s="28" t="s">
        <v>1759</v>
      </c>
      <c r="F830" s="28">
        <v>1.0</v>
      </c>
      <c r="G830" s="28" t="s">
        <v>41</v>
      </c>
      <c r="H830" s="28" t="s">
        <v>57</v>
      </c>
      <c r="I830" s="28" t="s">
        <v>57</v>
      </c>
      <c r="J830" s="28"/>
      <c r="K830" s="29" t="s">
        <v>58</v>
      </c>
      <c r="L830" s="26"/>
      <c r="M830" s="25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ht="18.0" customHeight="1">
      <c r="A831" s="27">
        <v>504.0</v>
      </c>
      <c r="B831" s="28" t="s">
        <v>1699</v>
      </c>
      <c r="C831" s="28">
        <v>350431.0</v>
      </c>
      <c r="D831" s="28" t="s">
        <v>1760</v>
      </c>
      <c r="E831" s="28" t="s">
        <v>1761</v>
      </c>
      <c r="F831" s="28">
        <v>1.0</v>
      </c>
      <c r="G831" s="28" t="s">
        <v>41</v>
      </c>
      <c r="H831" s="28" t="s">
        <v>57</v>
      </c>
      <c r="I831" s="28" t="s">
        <v>57</v>
      </c>
      <c r="J831" s="28"/>
      <c r="K831" s="29" t="s">
        <v>58</v>
      </c>
      <c r="L831" s="26"/>
      <c r="M831" s="25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ht="18.0" customHeight="1">
      <c r="A832" s="27">
        <v>504.0</v>
      </c>
      <c r="B832" s="28" t="s">
        <v>1699</v>
      </c>
      <c r="C832" s="28">
        <v>350432.0</v>
      </c>
      <c r="D832" s="28" t="s">
        <v>1762</v>
      </c>
      <c r="E832" s="28" t="s">
        <v>1763</v>
      </c>
      <c r="F832" s="28">
        <v>1.0</v>
      </c>
      <c r="G832" s="28" t="s">
        <v>41</v>
      </c>
      <c r="H832" s="28" t="s">
        <v>52</v>
      </c>
      <c r="I832" s="28" t="s">
        <v>53</v>
      </c>
      <c r="J832" s="28">
        <v>525177.0</v>
      </c>
      <c r="K832" s="29" t="s">
        <v>54</v>
      </c>
      <c r="L832" s="26"/>
      <c r="M832" s="25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ht="18.0" customHeight="1">
      <c r="A833" s="27">
        <v>504.0</v>
      </c>
      <c r="B833" s="28" t="s">
        <v>1699</v>
      </c>
      <c r="C833" s="28">
        <v>350433.0</v>
      </c>
      <c r="D833" s="28" t="s">
        <v>1764</v>
      </c>
      <c r="E833" s="28" t="s">
        <v>1765</v>
      </c>
      <c r="F833" s="28">
        <v>1.0</v>
      </c>
      <c r="G833" s="28" t="s">
        <v>41</v>
      </c>
      <c r="H833" s="28" t="s">
        <v>52</v>
      </c>
      <c r="I833" s="28" t="s">
        <v>53</v>
      </c>
      <c r="J833" s="28">
        <v>525151.0</v>
      </c>
      <c r="K833" s="29" t="s">
        <v>54</v>
      </c>
      <c r="L833" s="26"/>
      <c r="M833" s="25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ht="18.0" customHeight="1">
      <c r="A834" s="27">
        <v>504.0</v>
      </c>
      <c r="B834" s="28" t="s">
        <v>1699</v>
      </c>
      <c r="C834" s="28">
        <v>350434.0</v>
      </c>
      <c r="D834" s="28" t="s">
        <v>1766</v>
      </c>
      <c r="E834" s="28" t="s">
        <v>1767</v>
      </c>
      <c r="F834" s="28">
        <v>1.0</v>
      </c>
      <c r="G834" s="28" t="s">
        <v>41</v>
      </c>
      <c r="H834" s="28" t="s">
        <v>57</v>
      </c>
      <c r="I834" s="28" t="s">
        <v>57</v>
      </c>
      <c r="J834" s="28"/>
      <c r="K834" s="29" t="s">
        <v>58</v>
      </c>
      <c r="L834" s="26"/>
      <c r="M834" s="25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ht="18.0" customHeight="1">
      <c r="A835" s="27">
        <v>504.0</v>
      </c>
      <c r="B835" s="28" t="s">
        <v>1699</v>
      </c>
      <c r="C835" s="28">
        <v>350435.0</v>
      </c>
      <c r="D835" s="28" t="s">
        <v>1768</v>
      </c>
      <c r="E835" s="28" t="s">
        <v>1769</v>
      </c>
      <c r="F835" s="28">
        <v>1.0</v>
      </c>
      <c r="G835" s="28" t="s">
        <v>41</v>
      </c>
      <c r="H835" s="28" t="s">
        <v>57</v>
      </c>
      <c r="I835" s="28" t="s">
        <v>57</v>
      </c>
      <c r="J835" s="28"/>
      <c r="K835" s="29" t="s">
        <v>58</v>
      </c>
      <c r="L835" s="26"/>
      <c r="M835" s="25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ht="18.0" customHeight="1">
      <c r="A836" s="27">
        <v>504.0</v>
      </c>
      <c r="B836" s="28" t="s">
        <v>1699</v>
      </c>
      <c r="C836" s="28">
        <v>350436.0</v>
      </c>
      <c r="D836" s="28" t="s">
        <v>1770</v>
      </c>
      <c r="E836" s="28" t="s">
        <v>1771</v>
      </c>
      <c r="F836" s="28">
        <v>1.0</v>
      </c>
      <c r="G836" s="28" t="s">
        <v>41</v>
      </c>
      <c r="H836" s="28" t="s">
        <v>57</v>
      </c>
      <c r="I836" s="28" t="s">
        <v>57</v>
      </c>
      <c r="J836" s="28"/>
      <c r="K836" s="29" t="s">
        <v>58</v>
      </c>
      <c r="L836" s="26"/>
      <c r="M836" s="25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ht="18.0" customHeight="1">
      <c r="A837" s="27">
        <v>504.0</v>
      </c>
      <c r="B837" s="28" t="s">
        <v>1699</v>
      </c>
      <c r="C837" s="28">
        <v>350437.0</v>
      </c>
      <c r="D837" s="28" t="s">
        <v>1772</v>
      </c>
      <c r="E837" s="28" t="s">
        <v>1773</v>
      </c>
      <c r="F837" s="28">
        <v>1.0</v>
      </c>
      <c r="G837" s="28" t="s">
        <v>41</v>
      </c>
      <c r="H837" s="28" t="s">
        <v>57</v>
      </c>
      <c r="I837" s="28" t="s">
        <v>57</v>
      </c>
      <c r="J837" s="28"/>
      <c r="K837" s="29" t="s">
        <v>58</v>
      </c>
      <c r="L837" s="26"/>
      <c r="M837" s="25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ht="18.0" customHeight="1">
      <c r="A838" s="27">
        <v>504.0</v>
      </c>
      <c r="B838" s="28" t="s">
        <v>1699</v>
      </c>
      <c r="C838" s="28">
        <v>350439.0</v>
      </c>
      <c r="D838" s="28" t="s">
        <v>1774</v>
      </c>
      <c r="E838" s="28" t="s">
        <v>1775</v>
      </c>
      <c r="F838" s="28">
        <v>1.0</v>
      </c>
      <c r="G838" s="28" t="s">
        <v>41</v>
      </c>
      <c r="H838" s="28" t="s">
        <v>57</v>
      </c>
      <c r="I838" s="28" t="s">
        <v>57</v>
      </c>
      <c r="J838" s="28"/>
      <c r="K838" s="29" t="s">
        <v>58</v>
      </c>
      <c r="L838" s="26"/>
      <c r="M838" s="25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ht="18.0" customHeight="1">
      <c r="A839" s="27">
        <v>504.0</v>
      </c>
      <c r="B839" s="28" t="s">
        <v>1699</v>
      </c>
      <c r="C839" s="28">
        <v>350440.0</v>
      </c>
      <c r="D839" s="28" t="s">
        <v>1776</v>
      </c>
      <c r="E839" s="28" t="s">
        <v>1777</v>
      </c>
      <c r="F839" s="28">
        <v>1.0</v>
      </c>
      <c r="G839" s="28" t="s">
        <v>44</v>
      </c>
      <c r="H839" s="28" t="s">
        <v>61</v>
      </c>
      <c r="I839" s="28" t="s">
        <v>53</v>
      </c>
      <c r="J839" s="28">
        <v>525171.0</v>
      </c>
      <c r="K839" s="29" t="s">
        <v>58</v>
      </c>
      <c r="L839" s="26"/>
      <c r="M839" s="25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ht="18.0" customHeight="1">
      <c r="A840" s="27">
        <v>504.0</v>
      </c>
      <c r="B840" s="28" t="s">
        <v>1699</v>
      </c>
      <c r="C840" s="28">
        <v>350441.0</v>
      </c>
      <c r="D840" s="28" t="s">
        <v>1778</v>
      </c>
      <c r="E840" s="28" t="s">
        <v>1779</v>
      </c>
      <c r="F840" s="28">
        <v>1.0</v>
      </c>
      <c r="G840" s="28" t="s">
        <v>41</v>
      </c>
      <c r="H840" s="28" t="s">
        <v>57</v>
      </c>
      <c r="I840" s="28" t="s">
        <v>57</v>
      </c>
      <c r="J840" s="28"/>
      <c r="K840" s="29" t="s">
        <v>58</v>
      </c>
      <c r="L840" s="26"/>
      <c r="M840" s="25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ht="18.0" customHeight="1">
      <c r="A841" s="27">
        <v>504.0</v>
      </c>
      <c r="B841" s="28" t="s">
        <v>1699</v>
      </c>
      <c r="C841" s="28">
        <v>350442.0</v>
      </c>
      <c r="D841" s="28" t="s">
        <v>1780</v>
      </c>
      <c r="E841" s="28" t="s">
        <v>1781</v>
      </c>
      <c r="F841" s="28">
        <v>1.0</v>
      </c>
      <c r="G841" s="28" t="s">
        <v>41</v>
      </c>
      <c r="H841" s="28" t="s">
        <v>57</v>
      </c>
      <c r="I841" s="28" t="s">
        <v>57</v>
      </c>
      <c r="J841" s="28"/>
      <c r="K841" s="29" t="s">
        <v>58</v>
      </c>
      <c r="L841" s="26"/>
      <c r="M841" s="25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ht="18.0" customHeight="1">
      <c r="A842" s="27">
        <v>504.0</v>
      </c>
      <c r="B842" s="28" t="s">
        <v>1699</v>
      </c>
      <c r="C842" s="28">
        <v>350443.0</v>
      </c>
      <c r="D842" s="28" t="s">
        <v>1782</v>
      </c>
      <c r="E842" s="28" t="s">
        <v>1783</v>
      </c>
      <c r="F842" s="28">
        <v>1.0</v>
      </c>
      <c r="G842" s="28" t="s">
        <v>41</v>
      </c>
      <c r="H842" s="28" t="s">
        <v>57</v>
      </c>
      <c r="I842" s="28" t="s">
        <v>57</v>
      </c>
      <c r="J842" s="28"/>
      <c r="K842" s="29" t="s">
        <v>58</v>
      </c>
      <c r="L842" s="26"/>
      <c r="M842" s="25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ht="18.0" customHeight="1">
      <c r="A843" s="27">
        <v>504.0</v>
      </c>
      <c r="B843" s="28" t="s">
        <v>1699</v>
      </c>
      <c r="C843" s="28">
        <v>350444.0</v>
      </c>
      <c r="D843" s="28" t="s">
        <v>1784</v>
      </c>
      <c r="E843" s="28" t="s">
        <v>1785</v>
      </c>
      <c r="F843" s="28">
        <v>1.0</v>
      </c>
      <c r="G843" s="28" t="s">
        <v>41</v>
      </c>
      <c r="H843" s="28" t="s">
        <v>57</v>
      </c>
      <c r="I843" s="28" t="s">
        <v>57</v>
      </c>
      <c r="J843" s="28"/>
      <c r="K843" s="29" t="s">
        <v>58</v>
      </c>
      <c r="L843" s="26"/>
      <c r="M843" s="25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ht="18.0" customHeight="1">
      <c r="A844" s="27">
        <v>504.0</v>
      </c>
      <c r="B844" s="28" t="s">
        <v>1699</v>
      </c>
      <c r="C844" s="28">
        <v>350445.0</v>
      </c>
      <c r="D844" s="28" t="s">
        <v>1786</v>
      </c>
      <c r="E844" s="28" t="s">
        <v>1787</v>
      </c>
      <c r="F844" s="28">
        <v>1.0</v>
      </c>
      <c r="G844" s="28" t="s">
        <v>41</v>
      </c>
      <c r="H844" s="28" t="s">
        <v>57</v>
      </c>
      <c r="I844" s="28" t="s">
        <v>57</v>
      </c>
      <c r="J844" s="28"/>
      <c r="K844" s="29" t="s">
        <v>58</v>
      </c>
      <c r="L844" s="26"/>
      <c r="M844" s="25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ht="18.0" customHeight="1">
      <c r="A845" s="27">
        <v>504.0</v>
      </c>
      <c r="B845" s="28" t="s">
        <v>1699</v>
      </c>
      <c r="C845" s="28">
        <v>350446.0</v>
      </c>
      <c r="D845" s="28" t="s">
        <v>1788</v>
      </c>
      <c r="E845" s="28" t="s">
        <v>1789</v>
      </c>
      <c r="F845" s="28">
        <v>1.0</v>
      </c>
      <c r="G845" s="28" t="s">
        <v>41</v>
      </c>
      <c r="H845" s="28" t="s">
        <v>57</v>
      </c>
      <c r="I845" s="28" t="s">
        <v>57</v>
      </c>
      <c r="J845" s="28"/>
      <c r="K845" s="29" t="s">
        <v>58</v>
      </c>
      <c r="L845" s="26"/>
      <c r="M845" s="25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ht="18.0" customHeight="1">
      <c r="A846" s="27">
        <v>504.0</v>
      </c>
      <c r="B846" s="28" t="s">
        <v>1699</v>
      </c>
      <c r="C846" s="28">
        <v>250401.0</v>
      </c>
      <c r="D846" s="28" t="s">
        <v>1790</v>
      </c>
      <c r="E846" s="28" t="s">
        <v>1791</v>
      </c>
      <c r="F846" s="28">
        <v>2.0</v>
      </c>
      <c r="G846" s="28" t="s">
        <v>44</v>
      </c>
      <c r="H846" s="28" t="s">
        <v>119</v>
      </c>
      <c r="I846" s="28" t="s">
        <v>53</v>
      </c>
      <c r="J846" s="28">
        <v>518834.0</v>
      </c>
      <c r="K846" s="29" t="s">
        <v>54</v>
      </c>
      <c r="L846" s="26"/>
      <c r="M846" s="25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ht="18.0" customHeight="1">
      <c r="A847" s="27">
        <v>504.0</v>
      </c>
      <c r="B847" s="28" t="s">
        <v>1699</v>
      </c>
      <c r="C847" s="28">
        <v>250404.0</v>
      </c>
      <c r="D847" s="28" t="s">
        <v>1792</v>
      </c>
      <c r="E847" s="28" t="s">
        <v>1793</v>
      </c>
      <c r="F847" s="28">
        <v>2.0</v>
      </c>
      <c r="G847" s="28" t="s">
        <v>41</v>
      </c>
      <c r="H847" s="28" t="s">
        <v>57</v>
      </c>
      <c r="I847" s="28" t="s">
        <v>57</v>
      </c>
      <c r="J847" s="28"/>
      <c r="K847" s="29" t="s">
        <v>58</v>
      </c>
      <c r="L847" s="26"/>
      <c r="M847" s="25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ht="18.0" customHeight="1">
      <c r="A848" s="27">
        <v>504.0</v>
      </c>
      <c r="B848" s="28" t="s">
        <v>1699</v>
      </c>
      <c r="C848" s="28">
        <v>250408.0</v>
      </c>
      <c r="D848" s="28" t="s">
        <v>1794</v>
      </c>
      <c r="E848" s="28" t="s">
        <v>1795</v>
      </c>
      <c r="F848" s="28">
        <v>2.0</v>
      </c>
      <c r="G848" s="28" t="s">
        <v>41</v>
      </c>
      <c r="H848" s="28" t="s">
        <v>130</v>
      </c>
      <c r="I848" s="28" t="s">
        <v>53</v>
      </c>
      <c r="J848" s="28">
        <v>525165.0</v>
      </c>
      <c r="K848" s="29" t="s">
        <v>54</v>
      </c>
      <c r="L848" s="26"/>
      <c r="M848" s="25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ht="18.0" customHeight="1">
      <c r="A849" s="27">
        <v>504.0</v>
      </c>
      <c r="B849" s="28" t="s">
        <v>1699</v>
      </c>
      <c r="C849" s="28">
        <v>250410.0</v>
      </c>
      <c r="D849" s="28" t="s">
        <v>1796</v>
      </c>
      <c r="E849" s="28" t="s">
        <v>1797</v>
      </c>
      <c r="F849" s="28">
        <v>2.0</v>
      </c>
      <c r="G849" s="28" t="s">
        <v>41</v>
      </c>
      <c r="H849" s="28" t="s">
        <v>130</v>
      </c>
      <c r="I849" s="28" t="s">
        <v>53</v>
      </c>
      <c r="J849" s="28"/>
      <c r="K849" s="29" t="s">
        <v>58</v>
      </c>
      <c r="L849" s="26"/>
      <c r="M849" s="25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ht="18.0" customHeight="1">
      <c r="A850" s="27">
        <v>504.0</v>
      </c>
      <c r="B850" s="28" t="s">
        <v>1699</v>
      </c>
      <c r="C850" s="28">
        <v>250412.0</v>
      </c>
      <c r="D850" s="28" t="s">
        <v>1798</v>
      </c>
      <c r="E850" s="28" t="s">
        <v>1799</v>
      </c>
      <c r="F850" s="28">
        <v>2.0</v>
      </c>
      <c r="G850" s="28" t="s">
        <v>41</v>
      </c>
      <c r="H850" s="28" t="s">
        <v>130</v>
      </c>
      <c r="I850" s="28" t="s">
        <v>53</v>
      </c>
      <c r="J850" s="28">
        <v>525167.0</v>
      </c>
      <c r="K850" s="29" t="s">
        <v>54</v>
      </c>
      <c r="L850" s="26"/>
      <c r="M850" s="25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ht="18.0" customHeight="1">
      <c r="A851" s="27">
        <v>504.0</v>
      </c>
      <c r="B851" s="28" t="s">
        <v>1699</v>
      </c>
      <c r="C851" s="28">
        <v>250415.0</v>
      </c>
      <c r="D851" s="28" t="s">
        <v>1800</v>
      </c>
      <c r="E851" s="28" t="s">
        <v>1801</v>
      </c>
      <c r="F851" s="28">
        <v>2.0</v>
      </c>
      <c r="G851" s="28" t="s">
        <v>41</v>
      </c>
      <c r="H851" s="28" t="s">
        <v>130</v>
      </c>
      <c r="I851" s="28" t="s">
        <v>53</v>
      </c>
      <c r="J851" s="28">
        <v>525175.0</v>
      </c>
      <c r="K851" s="29" t="s">
        <v>54</v>
      </c>
      <c r="L851" s="26"/>
      <c r="M851" s="25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ht="18.0" customHeight="1">
      <c r="A852" s="27">
        <v>504.0</v>
      </c>
      <c r="B852" s="28" t="s">
        <v>1699</v>
      </c>
      <c r="C852" s="28">
        <v>250417.0</v>
      </c>
      <c r="D852" s="28" t="s">
        <v>1802</v>
      </c>
      <c r="E852" s="28" t="s">
        <v>1803</v>
      </c>
      <c r="F852" s="28">
        <v>2.0</v>
      </c>
      <c r="G852" s="28" t="s">
        <v>41</v>
      </c>
      <c r="H852" s="28" t="s">
        <v>57</v>
      </c>
      <c r="I852" s="28" t="s">
        <v>57</v>
      </c>
      <c r="J852" s="28"/>
      <c r="K852" s="29" t="s">
        <v>58</v>
      </c>
      <c r="L852" s="26"/>
      <c r="M852" s="25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ht="18.0" customHeight="1">
      <c r="A853" s="27">
        <v>504.0</v>
      </c>
      <c r="B853" s="28" t="s">
        <v>1699</v>
      </c>
      <c r="C853" s="28">
        <v>250420.0</v>
      </c>
      <c r="D853" s="28" t="s">
        <v>1804</v>
      </c>
      <c r="E853" s="28" t="s">
        <v>1805</v>
      </c>
      <c r="F853" s="28">
        <v>2.0</v>
      </c>
      <c r="G853" s="28" t="s">
        <v>44</v>
      </c>
      <c r="H853" s="28" t="s">
        <v>119</v>
      </c>
      <c r="I853" s="28" t="s">
        <v>53</v>
      </c>
      <c r="J853" s="28">
        <v>525168.0</v>
      </c>
      <c r="K853" s="29" t="s">
        <v>54</v>
      </c>
      <c r="L853" s="26"/>
      <c r="M853" s="25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ht="18.0" customHeight="1">
      <c r="A854" s="27">
        <v>504.0</v>
      </c>
      <c r="B854" s="28" t="s">
        <v>1699</v>
      </c>
      <c r="C854" s="28">
        <v>250421.0</v>
      </c>
      <c r="D854" s="28" t="s">
        <v>1806</v>
      </c>
      <c r="E854" s="28" t="s">
        <v>1807</v>
      </c>
      <c r="F854" s="28">
        <v>2.0</v>
      </c>
      <c r="G854" s="28" t="s">
        <v>41</v>
      </c>
      <c r="H854" s="28" t="s">
        <v>130</v>
      </c>
      <c r="I854" s="28" t="s">
        <v>53</v>
      </c>
      <c r="J854" s="28">
        <v>525163.0</v>
      </c>
      <c r="K854" s="29" t="s">
        <v>58</v>
      </c>
      <c r="L854" s="26"/>
      <c r="M854" s="25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ht="18.0" customHeight="1">
      <c r="A855" s="27">
        <v>504.0</v>
      </c>
      <c r="B855" s="28" t="s">
        <v>1699</v>
      </c>
      <c r="C855" s="28">
        <v>250426.0</v>
      </c>
      <c r="D855" s="28" t="s">
        <v>1808</v>
      </c>
      <c r="E855" s="28" t="s">
        <v>1809</v>
      </c>
      <c r="F855" s="28">
        <v>2.0</v>
      </c>
      <c r="G855" s="28" t="s">
        <v>41</v>
      </c>
      <c r="H855" s="28" t="s">
        <v>130</v>
      </c>
      <c r="I855" s="28" t="s">
        <v>53</v>
      </c>
      <c r="J855" s="28">
        <v>525178.0</v>
      </c>
      <c r="K855" s="29" t="s">
        <v>54</v>
      </c>
      <c r="L855" s="26"/>
      <c r="M855" s="25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ht="18.0" customHeight="1">
      <c r="A856" s="27">
        <v>504.0</v>
      </c>
      <c r="B856" s="28" t="s">
        <v>1699</v>
      </c>
      <c r="C856" s="28">
        <v>250427.0</v>
      </c>
      <c r="D856" s="28" t="s">
        <v>1810</v>
      </c>
      <c r="E856" s="28" t="s">
        <v>1811</v>
      </c>
      <c r="F856" s="28">
        <v>2.0</v>
      </c>
      <c r="G856" s="28" t="s">
        <v>41</v>
      </c>
      <c r="H856" s="28" t="s">
        <v>130</v>
      </c>
      <c r="I856" s="28" t="s">
        <v>53</v>
      </c>
      <c r="J856" s="28">
        <v>240619.0</v>
      </c>
      <c r="K856" s="29" t="s">
        <v>58</v>
      </c>
      <c r="L856" s="26"/>
      <c r="M856" s="25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ht="18.0" customHeight="1">
      <c r="A857" s="27">
        <v>504.0</v>
      </c>
      <c r="B857" s="28" t="s">
        <v>1699</v>
      </c>
      <c r="C857" s="28">
        <v>250429.0</v>
      </c>
      <c r="D857" s="28" t="s">
        <v>1812</v>
      </c>
      <c r="E857" s="28" t="s">
        <v>1813</v>
      </c>
      <c r="F857" s="28">
        <v>2.0</v>
      </c>
      <c r="G857" s="28" t="s">
        <v>41</v>
      </c>
      <c r="H857" s="28" t="s">
        <v>57</v>
      </c>
      <c r="I857" s="28" t="s">
        <v>57</v>
      </c>
      <c r="J857" s="28"/>
      <c r="K857" s="29" t="s">
        <v>58</v>
      </c>
      <c r="L857" s="26"/>
      <c r="M857" s="25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ht="18.0" customHeight="1">
      <c r="A858" s="27">
        <v>504.0</v>
      </c>
      <c r="B858" s="28" t="s">
        <v>1699</v>
      </c>
      <c r="C858" s="28">
        <v>250432.0</v>
      </c>
      <c r="D858" s="28" t="s">
        <v>1814</v>
      </c>
      <c r="E858" s="28" t="s">
        <v>1815</v>
      </c>
      <c r="F858" s="28">
        <v>2.0</v>
      </c>
      <c r="G858" s="28" t="s">
        <v>44</v>
      </c>
      <c r="H858" s="28" t="s">
        <v>119</v>
      </c>
      <c r="I858" s="28" t="s">
        <v>53</v>
      </c>
      <c r="J858" s="28">
        <v>525180.0</v>
      </c>
      <c r="K858" s="29" t="s">
        <v>54</v>
      </c>
      <c r="L858" s="26"/>
      <c r="M858" s="25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ht="18.0" customHeight="1">
      <c r="A859" s="27">
        <v>504.0</v>
      </c>
      <c r="B859" s="28" t="s">
        <v>1699</v>
      </c>
      <c r="C859" s="28">
        <v>150401.0</v>
      </c>
      <c r="D859" s="28" t="s">
        <v>1816</v>
      </c>
      <c r="E859" s="28" t="s">
        <v>1817</v>
      </c>
      <c r="F859" s="28">
        <v>3.0</v>
      </c>
      <c r="G859" s="28" t="s">
        <v>44</v>
      </c>
      <c r="H859" s="28" t="s">
        <v>57</v>
      </c>
      <c r="I859" s="28" t="s">
        <v>57</v>
      </c>
      <c r="J859" s="28"/>
      <c r="K859" s="29" t="s">
        <v>58</v>
      </c>
      <c r="L859" s="26"/>
      <c r="M859" s="25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ht="18.0" customHeight="1">
      <c r="A860" s="27">
        <v>504.0</v>
      </c>
      <c r="B860" s="28" t="s">
        <v>1699</v>
      </c>
      <c r="C860" s="28">
        <v>150402.0</v>
      </c>
      <c r="D860" s="28" t="s">
        <v>1818</v>
      </c>
      <c r="E860" s="28" t="s">
        <v>1819</v>
      </c>
      <c r="F860" s="28">
        <v>3.0</v>
      </c>
      <c r="G860" s="28" t="s">
        <v>41</v>
      </c>
      <c r="H860" s="28" t="s">
        <v>130</v>
      </c>
      <c r="I860" s="28" t="s">
        <v>53</v>
      </c>
      <c r="J860" s="28">
        <v>519355.0</v>
      </c>
      <c r="K860" s="29" t="s">
        <v>54</v>
      </c>
      <c r="L860" s="26"/>
      <c r="M860" s="25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ht="18.0" customHeight="1">
      <c r="A861" s="27">
        <v>504.0</v>
      </c>
      <c r="B861" s="28" t="s">
        <v>1699</v>
      </c>
      <c r="C861" s="28">
        <v>150404.0</v>
      </c>
      <c r="D861" s="28" t="s">
        <v>1820</v>
      </c>
      <c r="E861" s="28" t="s">
        <v>1821</v>
      </c>
      <c r="F861" s="28">
        <v>3.0</v>
      </c>
      <c r="G861" s="28" t="s">
        <v>41</v>
      </c>
      <c r="H861" s="28" t="s">
        <v>57</v>
      </c>
      <c r="I861" s="28" t="s">
        <v>57</v>
      </c>
      <c r="J861" s="28"/>
      <c r="K861" s="29" t="s">
        <v>58</v>
      </c>
      <c r="L861" s="26"/>
      <c r="M861" s="25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ht="18.0" customHeight="1">
      <c r="A862" s="27">
        <v>504.0</v>
      </c>
      <c r="B862" s="28" t="s">
        <v>1699</v>
      </c>
      <c r="C862" s="28">
        <v>150405.0</v>
      </c>
      <c r="D862" s="28" t="s">
        <v>1822</v>
      </c>
      <c r="E862" s="28" t="s">
        <v>1823</v>
      </c>
      <c r="F862" s="28">
        <v>3.0</v>
      </c>
      <c r="G862" s="28" t="s">
        <v>41</v>
      </c>
      <c r="H862" s="28" t="s">
        <v>130</v>
      </c>
      <c r="I862" s="28" t="s">
        <v>53</v>
      </c>
      <c r="J862" s="28"/>
      <c r="K862" s="29" t="s">
        <v>54</v>
      </c>
      <c r="L862" s="26"/>
      <c r="M862" s="25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ht="18.0" customHeight="1">
      <c r="A863" s="27">
        <v>504.0</v>
      </c>
      <c r="B863" s="28" t="s">
        <v>1699</v>
      </c>
      <c r="C863" s="28">
        <v>150406.0</v>
      </c>
      <c r="D863" s="28" t="s">
        <v>1824</v>
      </c>
      <c r="E863" s="28" t="s">
        <v>1825</v>
      </c>
      <c r="F863" s="28">
        <v>3.0</v>
      </c>
      <c r="G863" s="28" t="s">
        <v>44</v>
      </c>
      <c r="H863" s="28" t="s">
        <v>119</v>
      </c>
      <c r="I863" s="28" t="s">
        <v>53</v>
      </c>
      <c r="J863" s="28">
        <v>519419.0</v>
      </c>
      <c r="K863" s="29" t="s">
        <v>54</v>
      </c>
      <c r="L863" s="26"/>
      <c r="M863" s="25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ht="18.0" customHeight="1">
      <c r="A864" s="27">
        <v>504.0</v>
      </c>
      <c r="B864" s="28" t="s">
        <v>1699</v>
      </c>
      <c r="C864" s="28">
        <v>150408.0</v>
      </c>
      <c r="D864" s="28" t="s">
        <v>1826</v>
      </c>
      <c r="E864" s="28" t="s">
        <v>1827</v>
      </c>
      <c r="F864" s="28">
        <v>3.0</v>
      </c>
      <c r="G864" s="28" t="s">
        <v>41</v>
      </c>
      <c r="H864" s="28" t="s">
        <v>130</v>
      </c>
      <c r="I864" s="28" t="s">
        <v>53</v>
      </c>
      <c r="J864" s="28">
        <v>525169.0</v>
      </c>
      <c r="K864" s="29" t="s">
        <v>54</v>
      </c>
      <c r="L864" s="26"/>
      <c r="M864" s="25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ht="18.0" customHeight="1">
      <c r="A865" s="27">
        <v>504.0</v>
      </c>
      <c r="B865" s="28" t="s">
        <v>1699</v>
      </c>
      <c r="C865" s="28">
        <v>150410.0</v>
      </c>
      <c r="D865" s="28" t="s">
        <v>1828</v>
      </c>
      <c r="E865" s="28" t="s">
        <v>1829</v>
      </c>
      <c r="F865" s="28">
        <v>3.0</v>
      </c>
      <c r="G865" s="28" t="s">
        <v>41</v>
      </c>
      <c r="H865" s="28" t="s">
        <v>130</v>
      </c>
      <c r="I865" s="28" t="s">
        <v>53</v>
      </c>
      <c r="J865" s="28">
        <v>519354.0</v>
      </c>
      <c r="K865" s="29" t="s">
        <v>54</v>
      </c>
      <c r="L865" s="26"/>
      <c r="M865" s="25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ht="18.0" customHeight="1">
      <c r="A866" s="27">
        <v>504.0</v>
      </c>
      <c r="B866" s="28" t="s">
        <v>1699</v>
      </c>
      <c r="C866" s="28">
        <v>150413.0</v>
      </c>
      <c r="D866" s="28" t="s">
        <v>1830</v>
      </c>
      <c r="E866" s="28" t="s">
        <v>1831</v>
      </c>
      <c r="F866" s="28">
        <v>3.0</v>
      </c>
      <c r="G866" s="28" t="s">
        <v>44</v>
      </c>
      <c r="H866" s="28" t="s">
        <v>119</v>
      </c>
      <c r="I866" s="28" t="s">
        <v>53</v>
      </c>
      <c r="J866" s="28">
        <v>519344.0</v>
      </c>
      <c r="K866" s="29" t="s">
        <v>54</v>
      </c>
      <c r="L866" s="26"/>
      <c r="M866" s="25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ht="18.0" customHeight="1">
      <c r="A867" s="27">
        <v>504.0</v>
      </c>
      <c r="B867" s="28" t="s">
        <v>1699</v>
      </c>
      <c r="C867" s="28">
        <v>150414.0</v>
      </c>
      <c r="D867" s="28" t="s">
        <v>1832</v>
      </c>
      <c r="E867" s="28" t="s">
        <v>1833</v>
      </c>
      <c r="F867" s="28">
        <v>3.0</v>
      </c>
      <c r="G867" s="28" t="s">
        <v>41</v>
      </c>
      <c r="H867" s="28" t="s">
        <v>130</v>
      </c>
      <c r="I867" s="28" t="s">
        <v>53</v>
      </c>
      <c r="J867" s="28"/>
      <c r="K867" s="29" t="s">
        <v>54</v>
      </c>
      <c r="L867" s="26"/>
      <c r="M867" s="25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ht="18.0" customHeight="1">
      <c r="A868" s="27">
        <v>504.0</v>
      </c>
      <c r="B868" s="28" t="s">
        <v>1699</v>
      </c>
      <c r="C868" s="28">
        <v>150415.0</v>
      </c>
      <c r="D868" s="28" t="s">
        <v>1834</v>
      </c>
      <c r="E868" s="28" t="s">
        <v>1835</v>
      </c>
      <c r="F868" s="28">
        <v>3.0</v>
      </c>
      <c r="G868" s="28" t="s">
        <v>41</v>
      </c>
      <c r="H868" s="28" t="s">
        <v>57</v>
      </c>
      <c r="I868" s="28" t="s">
        <v>57</v>
      </c>
      <c r="J868" s="28"/>
      <c r="K868" s="29" t="s">
        <v>58</v>
      </c>
      <c r="L868" s="26"/>
      <c r="M868" s="25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ht="18.0" customHeight="1">
      <c r="A869" s="27">
        <v>504.0</v>
      </c>
      <c r="B869" s="28" t="s">
        <v>1699</v>
      </c>
      <c r="C869" s="28">
        <v>150419.0</v>
      </c>
      <c r="D869" s="28" t="s">
        <v>1836</v>
      </c>
      <c r="E869" s="28" t="s">
        <v>1837</v>
      </c>
      <c r="F869" s="28">
        <v>3.0</v>
      </c>
      <c r="G869" s="28" t="s">
        <v>41</v>
      </c>
      <c r="H869" s="28" t="s">
        <v>130</v>
      </c>
      <c r="I869" s="28" t="s">
        <v>53</v>
      </c>
      <c r="J869" s="28">
        <v>519340.0</v>
      </c>
      <c r="K869" s="29" t="s">
        <v>54</v>
      </c>
      <c r="L869" s="26"/>
      <c r="M869" s="25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ht="18.0" customHeight="1">
      <c r="A870" s="27">
        <v>504.0</v>
      </c>
      <c r="B870" s="28" t="s">
        <v>1699</v>
      </c>
      <c r="C870" s="28">
        <v>150420.0</v>
      </c>
      <c r="D870" s="28" t="s">
        <v>1838</v>
      </c>
      <c r="E870" s="28" t="s">
        <v>1839</v>
      </c>
      <c r="F870" s="28">
        <v>3.0</v>
      </c>
      <c r="G870" s="28" t="s">
        <v>41</v>
      </c>
      <c r="H870" s="28" t="s">
        <v>130</v>
      </c>
      <c r="I870" s="28" t="s">
        <v>53</v>
      </c>
      <c r="J870" s="28">
        <v>519339.0</v>
      </c>
      <c r="K870" s="29" t="s">
        <v>54</v>
      </c>
      <c r="L870" s="26"/>
      <c r="M870" s="25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ht="18.0" customHeight="1">
      <c r="A871" s="27">
        <v>504.0</v>
      </c>
      <c r="B871" s="28" t="s">
        <v>1699</v>
      </c>
      <c r="C871" s="28">
        <v>150422.0</v>
      </c>
      <c r="D871" s="28" t="s">
        <v>1840</v>
      </c>
      <c r="E871" s="28" t="s">
        <v>1841</v>
      </c>
      <c r="F871" s="28">
        <v>3.0</v>
      </c>
      <c r="G871" s="28" t="s">
        <v>41</v>
      </c>
      <c r="H871" s="28" t="s">
        <v>130</v>
      </c>
      <c r="I871" s="28" t="s">
        <v>53</v>
      </c>
      <c r="J871" s="28">
        <v>519341.0</v>
      </c>
      <c r="K871" s="29" t="s">
        <v>54</v>
      </c>
      <c r="L871" s="26"/>
      <c r="M871" s="25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ht="18.0" customHeight="1">
      <c r="A872" s="27">
        <v>504.0</v>
      </c>
      <c r="B872" s="28" t="s">
        <v>1699</v>
      </c>
      <c r="C872" s="28">
        <v>150428.0</v>
      </c>
      <c r="D872" s="28" t="s">
        <v>1842</v>
      </c>
      <c r="E872" s="28" t="s">
        <v>1843</v>
      </c>
      <c r="F872" s="28">
        <v>3.0</v>
      </c>
      <c r="G872" s="28" t="s">
        <v>41</v>
      </c>
      <c r="H872" s="28" t="s">
        <v>130</v>
      </c>
      <c r="I872" s="28" t="s">
        <v>53</v>
      </c>
      <c r="J872" s="28">
        <v>519335.0</v>
      </c>
      <c r="K872" s="29" t="s">
        <v>54</v>
      </c>
      <c r="L872" s="26"/>
      <c r="M872" s="25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ht="18.0" customHeight="1">
      <c r="A873" s="27">
        <v>504.0</v>
      </c>
      <c r="B873" s="28" t="s">
        <v>1699</v>
      </c>
      <c r="C873" s="28">
        <v>150432.0</v>
      </c>
      <c r="D873" s="28" t="s">
        <v>1844</v>
      </c>
      <c r="E873" s="28" t="s">
        <v>1845</v>
      </c>
      <c r="F873" s="28">
        <v>3.0</v>
      </c>
      <c r="G873" s="28" t="s">
        <v>41</v>
      </c>
      <c r="H873" s="28" t="s">
        <v>57</v>
      </c>
      <c r="I873" s="28" t="s">
        <v>57</v>
      </c>
      <c r="J873" s="28"/>
      <c r="K873" s="29" t="s">
        <v>58</v>
      </c>
      <c r="L873" s="26"/>
      <c r="M873" s="25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ht="18.0" customHeight="1">
      <c r="A874" s="27">
        <v>504.0</v>
      </c>
      <c r="B874" s="28" t="s">
        <v>1699</v>
      </c>
      <c r="C874" s="28">
        <v>150434.0</v>
      </c>
      <c r="D874" s="28" t="s">
        <v>1846</v>
      </c>
      <c r="E874" s="28" t="s">
        <v>1847</v>
      </c>
      <c r="F874" s="28">
        <v>3.0</v>
      </c>
      <c r="G874" s="28" t="s">
        <v>41</v>
      </c>
      <c r="H874" s="28" t="s">
        <v>57</v>
      </c>
      <c r="I874" s="28" t="s">
        <v>57</v>
      </c>
      <c r="J874" s="28"/>
      <c r="K874" s="29" t="s">
        <v>58</v>
      </c>
      <c r="L874" s="26"/>
      <c r="M874" s="25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ht="18.0" customHeight="1">
      <c r="A875" s="27">
        <v>504.0</v>
      </c>
      <c r="B875" s="28" t="s">
        <v>1699</v>
      </c>
      <c r="C875" s="28">
        <v>150436.0</v>
      </c>
      <c r="D875" s="28" t="s">
        <v>1848</v>
      </c>
      <c r="E875" s="28" t="s">
        <v>1849</v>
      </c>
      <c r="F875" s="28">
        <v>3.0</v>
      </c>
      <c r="G875" s="28" t="s">
        <v>41</v>
      </c>
      <c r="H875" s="28" t="s">
        <v>130</v>
      </c>
      <c r="I875" s="28" t="s">
        <v>53</v>
      </c>
      <c r="J875" s="28">
        <v>525179.0</v>
      </c>
      <c r="K875" s="29" t="s">
        <v>54</v>
      </c>
      <c r="L875" s="26"/>
      <c r="M875" s="25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ht="18.0" customHeight="1">
      <c r="A876" s="27">
        <v>504.0</v>
      </c>
      <c r="B876" s="28" t="s">
        <v>1699</v>
      </c>
      <c r="C876" s="28">
        <v>150437.0</v>
      </c>
      <c r="D876" s="28" t="s">
        <v>1850</v>
      </c>
      <c r="E876" s="28" t="s">
        <v>1851</v>
      </c>
      <c r="F876" s="28">
        <v>3.0</v>
      </c>
      <c r="G876" s="28" t="s">
        <v>44</v>
      </c>
      <c r="H876" s="28" t="s">
        <v>57</v>
      </c>
      <c r="I876" s="28" t="s">
        <v>57</v>
      </c>
      <c r="J876" s="28"/>
      <c r="K876" s="29" t="s">
        <v>58</v>
      </c>
      <c r="L876" s="26"/>
      <c r="M876" s="25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ht="18.0" customHeight="1">
      <c r="A877" s="27">
        <v>504.0</v>
      </c>
      <c r="B877" s="28" t="s">
        <v>1699</v>
      </c>
      <c r="C877" s="28">
        <v>150438.0</v>
      </c>
      <c r="D877" s="28" t="s">
        <v>1852</v>
      </c>
      <c r="E877" s="28" t="s">
        <v>1853</v>
      </c>
      <c r="F877" s="28">
        <v>3.0</v>
      </c>
      <c r="G877" s="28" t="s">
        <v>44</v>
      </c>
      <c r="H877" s="28" t="s">
        <v>57</v>
      </c>
      <c r="I877" s="28" t="s">
        <v>57</v>
      </c>
      <c r="J877" s="28"/>
      <c r="K877" s="29" t="s">
        <v>58</v>
      </c>
      <c r="L877" s="26"/>
      <c r="M877" s="25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ht="18.0" customHeight="1">
      <c r="A878" s="27">
        <v>504.0</v>
      </c>
      <c r="B878" s="28" t="s">
        <v>1699</v>
      </c>
      <c r="C878" s="28">
        <v>150439.0</v>
      </c>
      <c r="D878" s="28" t="s">
        <v>1854</v>
      </c>
      <c r="E878" s="28" t="s">
        <v>1855</v>
      </c>
      <c r="F878" s="28">
        <v>3.0</v>
      </c>
      <c r="G878" s="28" t="s">
        <v>41</v>
      </c>
      <c r="H878" s="28" t="s">
        <v>57</v>
      </c>
      <c r="I878" s="28" t="s">
        <v>57</v>
      </c>
      <c r="J878" s="28"/>
      <c r="K878" s="29" t="s">
        <v>58</v>
      </c>
      <c r="L878" s="26"/>
      <c r="M878" s="25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ht="18.0" customHeight="1">
      <c r="A879" s="27">
        <v>504.0</v>
      </c>
      <c r="B879" s="28" t="s">
        <v>1699</v>
      </c>
      <c r="C879" s="28">
        <v>150444.0</v>
      </c>
      <c r="D879" s="28" t="s">
        <v>1856</v>
      </c>
      <c r="E879" s="28" t="s">
        <v>1857</v>
      </c>
      <c r="F879" s="28">
        <v>3.0</v>
      </c>
      <c r="G879" s="28" t="s">
        <v>44</v>
      </c>
      <c r="H879" s="28" t="s">
        <v>119</v>
      </c>
      <c r="I879" s="28" t="s">
        <v>53</v>
      </c>
      <c r="J879" s="28">
        <v>519353.0</v>
      </c>
      <c r="K879" s="29" t="s">
        <v>54</v>
      </c>
      <c r="L879" s="26"/>
      <c r="M879" s="25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ht="18.0" customHeight="1">
      <c r="A880" s="27">
        <v>504.0</v>
      </c>
      <c r="B880" s="28" t="s">
        <v>1699</v>
      </c>
      <c r="C880" s="28">
        <v>50403.0</v>
      </c>
      <c r="D880" s="28" t="s">
        <v>1858</v>
      </c>
      <c r="E880" s="28" t="s">
        <v>1859</v>
      </c>
      <c r="F880" s="28">
        <v>4.0</v>
      </c>
      <c r="G880" s="28" t="s">
        <v>41</v>
      </c>
      <c r="H880" s="28" t="s">
        <v>57</v>
      </c>
      <c r="I880" s="28" t="s">
        <v>57</v>
      </c>
      <c r="J880" s="28"/>
      <c r="K880" s="29" t="s">
        <v>58</v>
      </c>
      <c r="L880" s="26"/>
      <c r="M880" s="25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ht="18.0" customHeight="1">
      <c r="A881" s="27">
        <v>504.0</v>
      </c>
      <c r="B881" s="28" t="s">
        <v>1699</v>
      </c>
      <c r="C881" s="28">
        <v>50404.0</v>
      </c>
      <c r="D881" s="28" t="s">
        <v>1860</v>
      </c>
      <c r="E881" s="28" t="s">
        <v>1861</v>
      </c>
      <c r="F881" s="28">
        <v>4.0</v>
      </c>
      <c r="G881" s="28" t="s">
        <v>41</v>
      </c>
      <c r="H881" s="28" t="s">
        <v>57</v>
      </c>
      <c r="I881" s="28" t="s">
        <v>57</v>
      </c>
      <c r="J881" s="28"/>
      <c r="K881" s="29" t="s">
        <v>58</v>
      </c>
      <c r="L881" s="26"/>
      <c r="M881" s="25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ht="18.0" customHeight="1">
      <c r="A882" s="27">
        <v>504.0</v>
      </c>
      <c r="B882" s="28" t="s">
        <v>1699</v>
      </c>
      <c r="C882" s="28">
        <v>50405.0</v>
      </c>
      <c r="D882" s="28" t="s">
        <v>1862</v>
      </c>
      <c r="E882" s="28" t="s">
        <v>1863</v>
      </c>
      <c r="F882" s="28">
        <v>4.0</v>
      </c>
      <c r="G882" s="28" t="s">
        <v>41</v>
      </c>
      <c r="H882" s="28" t="s">
        <v>130</v>
      </c>
      <c r="I882" s="28" t="s">
        <v>53</v>
      </c>
      <c r="J882" s="28">
        <v>519351.0</v>
      </c>
      <c r="K882" s="29" t="s">
        <v>58</v>
      </c>
      <c r="L882" s="26"/>
      <c r="M882" s="25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ht="18.0" customHeight="1">
      <c r="A883" s="27">
        <v>506.0</v>
      </c>
      <c r="B883" s="28" t="s">
        <v>1864</v>
      </c>
      <c r="C883" s="28">
        <v>350601.0</v>
      </c>
      <c r="D883" s="28" t="s">
        <v>1865</v>
      </c>
      <c r="E883" s="28" t="s">
        <v>1866</v>
      </c>
      <c r="F883" s="28">
        <v>1.0</v>
      </c>
      <c r="G883" s="28" t="s">
        <v>41</v>
      </c>
      <c r="H883" s="28" t="s">
        <v>57</v>
      </c>
      <c r="I883" s="28" t="s">
        <v>57</v>
      </c>
      <c r="J883" s="28"/>
      <c r="K883" s="29" t="s">
        <v>58</v>
      </c>
      <c r="L883" s="26"/>
      <c r="M883" s="25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ht="18.0" customHeight="1">
      <c r="A884" s="27">
        <v>506.0</v>
      </c>
      <c r="B884" s="28" t="s">
        <v>1864</v>
      </c>
      <c r="C884" s="28">
        <v>350602.0</v>
      </c>
      <c r="D884" s="28" t="s">
        <v>1867</v>
      </c>
      <c r="E884" s="28" t="s">
        <v>1868</v>
      </c>
      <c r="F884" s="28">
        <v>1.0</v>
      </c>
      <c r="G884" s="28" t="s">
        <v>41</v>
      </c>
      <c r="H884" s="28" t="s">
        <v>57</v>
      </c>
      <c r="I884" s="28" t="s">
        <v>57</v>
      </c>
      <c r="J884" s="28"/>
      <c r="K884" s="29" t="s">
        <v>58</v>
      </c>
      <c r="L884" s="26"/>
      <c r="M884" s="25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ht="18.0" customHeight="1">
      <c r="A885" s="27">
        <v>506.0</v>
      </c>
      <c r="B885" s="28" t="s">
        <v>1864</v>
      </c>
      <c r="C885" s="28">
        <v>350603.0</v>
      </c>
      <c r="D885" s="28" t="s">
        <v>1869</v>
      </c>
      <c r="E885" s="28" t="s">
        <v>1870</v>
      </c>
      <c r="F885" s="28">
        <v>1.0</v>
      </c>
      <c r="G885" s="28" t="s">
        <v>41</v>
      </c>
      <c r="H885" s="28" t="s">
        <v>57</v>
      </c>
      <c r="I885" s="28" t="s">
        <v>57</v>
      </c>
      <c r="J885" s="28"/>
      <c r="K885" s="29" t="s">
        <v>58</v>
      </c>
      <c r="L885" s="26"/>
      <c r="M885" s="25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ht="18.0" customHeight="1">
      <c r="A886" s="27">
        <v>506.0</v>
      </c>
      <c r="B886" s="28" t="s">
        <v>1864</v>
      </c>
      <c r="C886" s="28">
        <v>350604.0</v>
      </c>
      <c r="D886" s="28" t="s">
        <v>1871</v>
      </c>
      <c r="E886" s="28" t="s">
        <v>1872</v>
      </c>
      <c r="F886" s="28">
        <v>1.0</v>
      </c>
      <c r="G886" s="28" t="s">
        <v>44</v>
      </c>
      <c r="H886" s="28" t="s">
        <v>61</v>
      </c>
      <c r="I886" s="28" t="s">
        <v>53</v>
      </c>
      <c r="J886" s="28">
        <v>530300.0</v>
      </c>
      <c r="K886" s="29" t="s">
        <v>54</v>
      </c>
      <c r="L886" s="26"/>
      <c r="M886" s="25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ht="18.0" customHeight="1">
      <c r="A887" s="27">
        <v>506.0</v>
      </c>
      <c r="B887" s="28" t="s">
        <v>1864</v>
      </c>
      <c r="C887" s="28">
        <v>350605.0</v>
      </c>
      <c r="D887" s="28" t="s">
        <v>1873</v>
      </c>
      <c r="E887" s="28" t="s">
        <v>1874</v>
      </c>
      <c r="F887" s="28">
        <v>1.0</v>
      </c>
      <c r="G887" s="28" t="s">
        <v>41</v>
      </c>
      <c r="H887" s="28" t="s">
        <v>57</v>
      </c>
      <c r="I887" s="28" t="s">
        <v>57</v>
      </c>
      <c r="J887" s="28"/>
      <c r="K887" s="29" t="s">
        <v>58</v>
      </c>
      <c r="L887" s="26"/>
      <c r="M887" s="25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ht="18.0" customHeight="1">
      <c r="A888" s="27">
        <v>506.0</v>
      </c>
      <c r="B888" s="28" t="s">
        <v>1864</v>
      </c>
      <c r="C888" s="28">
        <v>250601.0</v>
      </c>
      <c r="D888" s="28" t="s">
        <v>1875</v>
      </c>
      <c r="E888" s="28" t="s">
        <v>1876</v>
      </c>
      <c r="F888" s="28">
        <v>2.0</v>
      </c>
      <c r="G888" s="28" t="s">
        <v>41</v>
      </c>
      <c r="H888" s="28" t="s">
        <v>130</v>
      </c>
      <c r="I888" s="28" t="s">
        <v>53</v>
      </c>
      <c r="J888" s="28">
        <v>523121.0</v>
      </c>
      <c r="K888" s="29" t="s">
        <v>54</v>
      </c>
      <c r="L888" s="26"/>
      <c r="M888" s="25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ht="18.0" customHeight="1">
      <c r="A889" s="27">
        <v>506.0</v>
      </c>
      <c r="B889" s="28" t="s">
        <v>1864</v>
      </c>
      <c r="C889" s="28">
        <v>250604.0</v>
      </c>
      <c r="D889" s="28" t="s">
        <v>1877</v>
      </c>
      <c r="E889" s="28" t="s">
        <v>1878</v>
      </c>
      <c r="F889" s="28">
        <v>2.0</v>
      </c>
      <c r="G889" s="28" t="s">
        <v>41</v>
      </c>
      <c r="H889" s="28" t="s">
        <v>57</v>
      </c>
      <c r="I889" s="28" t="s">
        <v>57</v>
      </c>
      <c r="J889" s="28"/>
      <c r="K889" s="29" t="s">
        <v>58</v>
      </c>
      <c r="L889" s="26"/>
      <c r="M889" s="25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ht="18.0" customHeight="1">
      <c r="A890" s="27">
        <v>506.0</v>
      </c>
      <c r="B890" s="28" t="s">
        <v>1864</v>
      </c>
      <c r="C890" s="28">
        <v>250605.0</v>
      </c>
      <c r="D890" s="28" t="s">
        <v>1879</v>
      </c>
      <c r="E890" s="28" t="s">
        <v>1880</v>
      </c>
      <c r="F890" s="28">
        <v>2.0</v>
      </c>
      <c r="G890" s="28" t="s">
        <v>41</v>
      </c>
      <c r="H890" s="28" t="s">
        <v>57</v>
      </c>
      <c r="I890" s="28" t="s">
        <v>57</v>
      </c>
      <c r="J890" s="28"/>
      <c r="K890" s="29" t="s">
        <v>58</v>
      </c>
      <c r="L890" s="26"/>
      <c r="M890" s="25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ht="18.0" customHeight="1">
      <c r="A891" s="27">
        <v>506.0</v>
      </c>
      <c r="B891" s="28" t="s">
        <v>1864</v>
      </c>
      <c r="C891" s="28">
        <v>250607.0</v>
      </c>
      <c r="D891" s="28" t="s">
        <v>1881</v>
      </c>
      <c r="E891" s="28" t="s">
        <v>1882</v>
      </c>
      <c r="F891" s="28">
        <v>2.0</v>
      </c>
      <c r="G891" s="28" t="s">
        <v>41</v>
      </c>
      <c r="H891" s="28" t="s">
        <v>57</v>
      </c>
      <c r="I891" s="28" t="s">
        <v>57</v>
      </c>
      <c r="J891" s="28"/>
      <c r="K891" s="29" t="s">
        <v>58</v>
      </c>
      <c r="L891" s="26"/>
      <c r="M891" s="25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ht="18.0" customHeight="1">
      <c r="A892" s="27">
        <v>506.0</v>
      </c>
      <c r="B892" s="28" t="s">
        <v>1864</v>
      </c>
      <c r="C892" s="28">
        <v>250608.0</v>
      </c>
      <c r="D892" s="28" t="s">
        <v>1883</v>
      </c>
      <c r="E892" s="28" t="s">
        <v>1884</v>
      </c>
      <c r="F892" s="28">
        <v>2.0</v>
      </c>
      <c r="G892" s="28" t="s">
        <v>41</v>
      </c>
      <c r="H892" s="28" t="s">
        <v>57</v>
      </c>
      <c r="I892" s="28" t="s">
        <v>57</v>
      </c>
      <c r="J892" s="28"/>
      <c r="K892" s="29" t="s">
        <v>58</v>
      </c>
      <c r="L892" s="26"/>
      <c r="M892" s="25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ht="18.0" customHeight="1">
      <c r="A893" s="27">
        <v>506.0</v>
      </c>
      <c r="B893" s="28" t="s">
        <v>1864</v>
      </c>
      <c r="C893" s="28">
        <v>250609.0</v>
      </c>
      <c r="D893" s="28" t="s">
        <v>1885</v>
      </c>
      <c r="E893" s="28" t="s">
        <v>1886</v>
      </c>
      <c r="F893" s="28">
        <v>2.0</v>
      </c>
      <c r="G893" s="28" t="s">
        <v>41</v>
      </c>
      <c r="H893" s="28" t="s">
        <v>57</v>
      </c>
      <c r="I893" s="28" t="s">
        <v>57</v>
      </c>
      <c r="J893" s="28"/>
      <c r="K893" s="29" t="s">
        <v>58</v>
      </c>
      <c r="L893" s="26"/>
      <c r="M893" s="25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ht="18.0" customHeight="1">
      <c r="A894" s="27">
        <v>506.0</v>
      </c>
      <c r="B894" s="28" t="s">
        <v>1864</v>
      </c>
      <c r="C894" s="28">
        <v>250612.0</v>
      </c>
      <c r="D894" s="28" t="s">
        <v>1887</v>
      </c>
      <c r="E894" s="28" t="s">
        <v>1888</v>
      </c>
      <c r="F894" s="28">
        <v>2.0</v>
      </c>
      <c r="G894" s="28" t="s">
        <v>41</v>
      </c>
      <c r="H894" s="28" t="s">
        <v>57</v>
      </c>
      <c r="I894" s="28" t="s">
        <v>57</v>
      </c>
      <c r="J894" s="28"/>
      <c r="K894" s="29" t="s">
        <v>58</v>
      </c>
      <c r="L894" s="26"/>
      <c r="M894" s="25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ht="18.0" customHeight="1">
      <c r="A895" s="27">
        <v>506.0</v>
      </c>
      <c r="B895" s="28" t="s">
        <v>1864</v>
      </c>
      <c r="C895" s="28">
        <v>250613.0</v>
      </c>
      <c r="D895" s="28" t="s">
        <v>1889</v>
      </c>
      <c r="E895" s="28" t="s">
        <v>1890</v>
      </c>
      <c r="F895" s="28">
        <v>2.0</v>
      </c>
      <c r="G895" s="28" t="s">
        <v>44</v>
      </c>
      <c r="H895" s="28" t="s">
        <v>57</v>
      </c>
      <c r="I895" s="28" t="s">
        <v>57</v>
      </c>
      <c r="J895" s="28"/>
      <c r="K895" s="29" t="s">
        <v>58</v>
      </c>
      <c r="L895" s="26"/>
      <c r="M895" s="25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ht="18.0" customHeight="1">
      <c r="A896" s="27">
        <v>506.0</v>
      </c>
      <c r="B896" s="28" t="s">
        <v>1864</v>
      </c>
      <c r="C896" s="28">
        <v>250615.0</v>
      </c>
      <c r="D896" s="28" t="s">
        <v>1891</v>
      </c>
      <c r="E896" s="28" t="s">
        <v>1892</v>
      </c>
      <c r="F896" s="28">
        <v>2.0</v>
      </c>
      <c r="G896" s="28" t="s">
        <v>41</v>
      </c>
      <c r="H896" s="28" t="s">
        <v>57</v>
      </c>
      <c r="I896" s="28" t="s">
        <v>57</v>
      </c>
      <c r="J896" s="28"/>
      <c r="K896" s="29" t="s">
        <v>58</v>
      </c>
      <c r="L896" s="26"/>
      <c r="M896" s="25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ht="18.0" customHeight="1">
      <c r="A897" s="27">
        <v>506.0</v>
      </c>
      <c r="B897" s="28" t="s">
        <v>1864</v>
      </c>
      <c r="C897" s="28">
        <v>250616.0</v>
      </c>
      <c r="D897" s="28" t="s">
        <v>1893</v>
      </c>
      <c r="E897" s="28" t="s">
        <v>1894</v>
      </c>
      <c r="F897" s="28">
        <v>2.0</v>
      </c>
      <c r="G897" s="28" t="s">
        <v>41</v>
      </c>
      <c r="H897" s="28" t="s">
        <v>57</v>
      </c>
      <c r="I897" s="28" t="s">
        <v>57</v>
      </c>
      <c r="J897" s="28"/>
      <c r="K897" s="29" t="s">
        <v>58</v>
      </c>
      <c r="L897" s="26"/>
      <c r="M897" s="25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ht="18.0" customHeight="1">
      <c r="A898" s="27">
        <v>506.0</v>
      </c>
      <c r="B898" s="28" t="s">
        <v>1864</v>
      </c>
      <c r="C898" s="28">
        <v>250619.0</v>
      </c>
      <c r="D898" s="28" t="s">
        <v>1895</v>
      </c>
      <c r="E898" s="28" t="s">
        <v>1896</v>
      </c>
      <c r="F898" s="28">
        <v>2.0</v>
      </c>
      <c r="G898" s="28" t="s">
        <v>41</v>
      </c>
      <c r="H898" s="28" t="s">
        <v>57</v>
      </c>
      <c r="I898" s="28" t="s">
        <v>57</v>
      </c>
      <c r="J898" s="28"/>
      <c r="K898" s="29" t="s">
        <v>58</v>
      </c>
      <c r="L898" s="26"/>
      <c r="M898" s="25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ht="18.0" customHeight="1">
      <c r="A899" s="27">
        <v>506.0</v>
      </c>
      <c r="B899" s="28" t="s">
        <v>1864</v>
      </c>
      <c r="C899" s="28">
        <v>250620.0</v>
      </c>
      <c r="D899" s="28" t="s">
        <v>1897</v>
      </c>
      <c r="E899" s="28" t="s">
        <v>1898</v>
      </c>
      <c r="F899" s="28">
        <v>2.0</v>
      </c>
      <c r="G899" s="28" t="s">
        <v>41</v>
      </c>
      <c r="H899" s="28" t="s">
        <v>57</v>
      </c>
      <c r="I899" s="28" t="s">
        <v>57</v>
      </c>
      <c r="J899" s="28"/>
      <c r="K899" s="29" t="s">
        <v>58</v>
      </c>
      <c r="L899" s="26"/>
      <c r="M899" s="25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ht="18.0" customHeight="1">
      <c r="A900" s="27">
        <v>506.0</v>
      </c>
      <c r="B900" s="28" t="s">
        <v>1864</v>
      </c>
      <c r="C900" s="28">
        <v>150601.0</v>
      </c>
      <c r="D900" s="28" t="s">
        <v>1899</v>
      </c>
      <c r="E900" s="28" t="s">
        <v>1900</v>
      </c>
      <c r="F900" s="28">
        <v>3.0</v>
      </c>
      <c r="G900" s="28" t="s">
        <v>44</v>
      </c>
      <c r="H900" s="28" t="s">
        <v>57</v>
      </c>
      <c r="I900" s="28" t="s">
        <v>57</v>
      </c>
      <c r="J900" s="28"/>
      <c r="K900" s="29" t="s">
        <v>58</v>
      </c>
      <c r="L900" s="26"/>
      <c r="M900" s="25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ht="18.0" customHeight="1">
      <c r="A901" s="27">
        <v>506.0</v>
      </c>
      <c r="B901" s="28" t="s">
        <v>1864</v>
      </c>
      <c r="C901" s="28">
        <v>150602.0</v>
      </c>
      <c r="D901" s="28" t="s">
        <v>1901</v>
      </c>
      <c r="E901" s="28" t="s">
        <v>1902</v>
      </c>
      <c r="F901" s="28">
        <v>3.0</v>
      </c>
      <c r="G901" s="28" t="s">
        <v>44</v>
      </c>
      <c r="H901" s="28" t="s">
        <v>119</v>
      </c>
      <c r="I901" s="28" t="s">
        <v>53</v>
      </c>
      <c r="J901" s="28">
        <v>519410.0</v>
      </c>
      <c r="K901" s="29" t="s">
        <v>54</v>
      </c>
      <c r="L901" s="26"/>
      <c r="M901" s="25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ht="18.0" customHeight="1">
      <c r="A902" s="27">
        <v>506.0</v>
      </c>
      <c r="B902" s="28" t="s">
        <v>1864</v>
      </c>
      <c r="C902" s="28">
        <v>150604.0</v>
      </c>
      <c r="D902" s="28" t="s">
        <v>1903</v>
      </c>
      <c r="E902" s="28" t="s">
        <v>1904</v>
      </c>
      <c r="F902" s="28">
        <v>3.0</v>
      </c>
      <c r="G902" s="28" t="s">
        <v>41</v>
      </c>
      <c r="H902" s="28" t="s">
        <v>130</v>
      </c>
      <c r="I902" s="28" t="s">
        <v>53</v>
      </c>
      <c r="J902" s="28">
        <v>519414.0</v>
      </c>
      <c r="K902" s="29" t="s">
        <v>54</v>
      </c>
      <c r="L902" s="26"/>
      <c r="M902" s="25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ht="18.0" customHeight="1">
      <c r="A903" s="27">
        <v>506.0</v>
      </c>
      <c r="B903" s="28" t="s">
        <v>1864</v>
      </c>
      <c r="C903" s="28">
        <v>150609.0</v>
      </c>
      <c r="D903" s="28" t="s">
        <v>1905</v>
      </c>
      <c r="E903" s="28" t="s">
        <v>1906</v>
      </c>
      <c r="F903" s="28">
        <v>3.0</v>
      </c>
      <c r="G903" s="28" t="s">
        <v>41</v>
      </c>
      <c r="H903" s="28" t="s">
        <v>130</v>
      </c>
      <c r="I903" s="28" t="s">
        <v>53</v>
      </c>
      <c r="J903" s="28">
        <v>519406.0</v>
      </c>
      <c r="K903" s="29" t="s">
        <v>54</v>
      </c>
      <c r="L903" s="26"/>
      <c r="M903" s="25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ht="18.0" customHeight="1">
      <c r="A904" s="27">
        <v>506.0</v>
      </c>
      <c r="B904" s="28" t="s">
        <v>1864</v>
      </c>
      <c r="C904" s="28">
        <v>150612.0</v>
      </c>
      <c r="D904" s="28" t="s">
        <v>1907</v>
      </c>
      <c r="E904" s="28" t="s">
        <v>1908</v>
      </c>
      <c r="F904" s="28">
        <v>3.0</v>
      </c>
      <c r="G904" s="28" t="s">
        <v>41</v>
      </c>
      <c r="H904" s="28" t="s">
        <v>130</v>
      </c>
      <c r="I904" s="28" t="s">
        <v>53</v>
      </c>
      <c r="J904" s="28"/>
      <c r="K904" s="29" t="s">
        <v>58</v>
      </c>
      <c r="L904" s="26"/>
      <c r="M904" s="25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ht="18.0" customHeight="1">
      <c r="A905" s="27">
        <v>506.0</v>
      </c>
      <c r="B905" s="28" t="s">
        <v>1864</v>
      </c>
      <c r="C905" s="28">
        <v>50601.0</v>
      </c>
      <c r="D905" s="28" t="s">
        <v>1909</v>
      </c>
      <c r="E905" s="28" t="s">
        <v>1910</v>
      </c>
      <c r="F905" s="28">
        <v>4.0</v>
      </c>
      <c r="G905" s="28" t="s">
        <v>41</v>
      </c>
      <c r="H905" s="28" t="s">
        <v>130</v>
      </c>
      <c r="I905" s="28" t="s">
        <v>53</v>
      </c>
      <c r="J905" s="28"/>
      <c r="K905" s="29" t="s">
        <v>58</v>
      </c>
      <c r="L905" s="26"/>
      <c r="M905" s="25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ht="18.0" customHeight="1">
      <c r="A906" s="27">
        <v>506.0</v>
      </c>
      <c r="B906" s="28" t="s">
        <v>1864</v>
      </c>
      <c r="C906" s="28">
        <v>50602.0</v>
      </c>
      <c r="D906" s="28" t="s">
        <v>1911</v>
      </c>
      <c r="E906" s="28" t="s">
        <v>1912</v>
      </c>
      <c r="F906" s="28">
        <v>4.0</v>
      </c>
      <c r="G906" s="28" t="s">
        <v>41</v>
      </c>
      <c r="H906" s="28" t="s">
        <v>57</v>
      </c>
      <c r="I906" s="28" t="s">
        <v>57</v>
      </c>
      <c r="J906" s="28"/>
      <c r="K906" s="29" t="s">
        <v>58</v>
      </c>
      <c r="L906" s="26"/>
      <c r="M906" s="25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ht="18.0" customHeight="1">
      <c r="A907" s="27">
        <v>506.0</v>
      </c>
      <c r="B907" s="28" t="s">
        <v>1864</v>
      </c>
      <c r="C907" s="28">
        <v>50605.0</v>
      </c>
      <c r="D907" s="28" t="s">
        <v>1913</v>
      </c>
      <c r="E907" s="28" t="s">
        <v>1914</v>
      </c>
      <c r="F907" s="28">
        <v>4.0</v>
      </c>
      <c r="G907" s="28" t="s">
        <v>41</v>
      </c>
      <c r="H907" s="28" t="s">
        <v>130</v>
      </c>
      <c r="I907" s="28" t="s">
        <v>53</v>
      </c>
      <c r="J907" s="28"/>
      <c r="K907" s="29" t="s">
        <v>58</v>
      </c>
      <c r="L907" s="26"/>
      <c r="M907" s="25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ht="18.0" customHeight="1">
      <c r="A908" s="27">
        <v>506.0</v>
      </c>
      <c r="B908" s="28" t="s">
        <v>1864</v>
      </c>
      <c r="C908" s="28">
        <v>50606.0</v>
      </c>
      <c r="D908" s="28" t="s">
        <v>1915</v>
      </c>
      <c r="E908" s="28" t="s">
        <v>1916</v>
      </c>
      <c r="F908" s="28">
        <v>4.0</v>
      </c>
      <c r="G908" s="28" t="s">
        <v>41</v>
      </c>
      <c r="H908" s="28" t="s">
        <v>57</v>
      </c>
      <c r="I908" s="28" t="s">
        <v>57</v>
      </c>
      <c r="J908" s="28"/>
      <c r="K908" s="29" t="s">
        <v>58</v>
      </c>
      <c r="L908" s="26"/>
      <c r="M908" s="25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ht="18.0" customHeight="1">
      <c r="A909" s="27">
        <v>506.0</v>
      </c>
      <c r="B909" s="28" t="s">
        <v>1864</v>
      </c>
      <c r="C909" s="28">
        <v>50607.0</v>
      </c>
      <c r="D909" s="28" t="s">
        <v>1917</v>
      </c>
      <c r="E909" s="28" t="s">
        <v>1918</v>
      </c>
      <c r="F909" s="28">
        <v>4.0</v>
      </c>
      <c r="G909" s="28" t="s">
        <v>41</v>
      </c>
      <c r="H909" s="28" t="s">
        <v>130</v>
      </c>
      <c r="I909" s="28" t="s">
        <v>53</v>
      </c>
      <c r="J909" s="28"/>
      <c r="K909" s="29" t="s">
        <v>58</v>
      </c>
      <c r="L909" s="26"/>
      <c r="M909" s="25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ht="18.0" customHeight="1">
      <c r="A910" s="27">
        <v>507.0</v>
      </c>
      <c r="B910" s="28" t="s">
        <v>1919</v>
      </c>
      <c r="C910" s="28">
        <v>350701.0</v>
      </c>
      <c r="D910" s="28" t="s">
        <v>1920</v>
      </c>
      <c r="E910" s="28" t="s">
        <v>1921</v>
      </c>
      <c r="F910" s="28">
        <v>1.0</v>
      </c>
      <c r="G910" s="28" t="s">
        <v>41</v>
      </c>
      <c r="H910" s="28" t="s">
        <v>57</v>
      </c>
      <c r="I910" s="28" t="s">
        <v>57</v>
      </c>
      <c r="J910" s="28"/>
      <c r="K910" s="29" t="s">
        <v>58</v>
      </c>
      <c r="L910" s="26"/>
      <c r="M910" s="25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ht="18.0" customHeight="1">
      <c r="A911" s="27">
        <v>507.0</v>
      </c>
      <c r="B911" s="28" t="s">
        <v>1919</v>
      </c>
      <c r="C911" s="28">
        <v>350702.0</v>
      </c>
      <c r="D911" s="28" t="s">
        <v>1922</v>
      </c>
      <c r="E911" s="28" t="s">
        <v>1923</v>
      </c>
      <c r="F911" s="28">
        <v>1.0</v>
      </c>
      <c r="G911" s="28" t="s">
        <v>41</v>
      </c>
      <c r="H911" s="28" t="s">
        <v>57</v>
      </c>
      <c r="I911" s="28" t="s">
        <v>57</v>
      </c>
      <c r="J911" s="28"/>
      <c r="K911" s="29" t="s">
        <v>58</v>
      </c>
      <c r="L911" s="26"/>
      <c r="M911" s="25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ht="18.0" customHeight="1">
      <c r="A912" s="27">
        <v>507.0</v>
      </c>
      <c r="B912" s="28" t="s">
        <v>1919</v>
      </c>
      <c r="C912" s="28">
        <v>350703.0</v>
      </c>
      <c r="D912" s="28" t="s">
        <v>1924</v>
      </c>
      <c r="E912" s="28" t="s">
        <v>1925</v>
      </c>
      <c r="F912" s="28">
        <v>1.0</v>
      </c>
      <c r="G912" s="28" t="s">
        <v>44</v>
      </c>
      <c r="H912" s="28" t="s">
        <v>57</v>
      </c>
      <c r="I912" s="28" t="s">
        <v>57</v>
      </c>
      <c r="J912" s="28"/>
      <c r="K912" s="29" t="s">
        <v>58</v>
      </c>
      <c r="L912" s="26"/>
      <c r="M912" s="25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ht="18.0" customHeight="1">
      <c r="A913" s="27">
        <v>507.0</v>
      </c>
      <c r="B913" s="28" t="s">
        <v>1919</v>
      </c>
      <c r="C913" s="28">
        <v>350704.0</v>
      </c>
      <c r="D913" s="28" t="s">
        <v>1926</v>
      </c>
      <c r="E913" s="28" t="s">
        <v>1927</v>
      </c>
      <c r="F913" s="28">
        <v>1.0</v>
      </c>
      <c r="G913" s="28" t="s">
        <v>41</v>
      </c>
      <c r="H913" s="28" t="s">
        <v>57</v>
      </c>
      <c r="I913" s="28" t="s">
        <v>57</v>
      </c>
      <c r="J913" s="28"/>
      <c r="K913" s="29" t="s">
        <v>58</v>
      </c>
      <c r="L913" s="26"/>
      <c r="M913" s="25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ht="18.0" customHeight="1">
      <c r="A914" s="27">
        <v>507.0</v>
      </c>
      <c r="B914" s="28" t="s">
        <v>1919</v>
      </c>
      <c r="C914" s="28">
        <v>350705.0</v>
      </c>
      <c r="D914" s="28" t="s">
        <v>1928</v>
      </c>
      <c r="E914" s="28" t="s">
        <v>1929</v>
      </c>
      <c r="F914" s="28">
        <v>1.0</v>
      </c>
      <c r="G914" s="28" t="s">
        <v>44</v>
      </c>
      <c r="H914" s="28" t="s">
        <v>57</v>
      </c>
      <c r="I914" s="28" t="s">
        <v>57</v>
      </c>
      <c r="J914" s="28"/>
      <c r="K914" s="29" t="s">
        <v>58</v>
      </c>
      <c r="L914" s="26"/>
      <c r="M914" s="25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ht="18.0" customHeight="1">
      <c r="A915" s="27">
        <v>507.0</v>
      </c>
      <c r="B915" s="28" t="s">
        <v>1919</v>
      </c>
      <c r="C915" s="28">
        <v>350706.0</v>
      </c>
      <c r="D915" s="28" t="s">
        <v>1930</v>
      </c>
      <c r="E915" s="28" t="s">
        <v>1931</v>
      </c>
      <c r="F915" s="28">
        <v>1.0</v>
      </c>
      <c r="G915" s="28" t="s">
        <v>41</v>
      </c>
      <c r="H915" s="28" t="s">
        <v>57</v>
      </c>
      <c r="I915" s="28" t="s">
        <v>57</v>
      </c>
      <c r="J915" s="28"/>
      <c r="K915" s="29" t="s">
        <v>58</v>
      </c>
      <c r="L915" s="26"/>
      <c r="M915" s="25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ht="18.0" customHeight="1">
      <c r="A916" s="27">
        <v>507.0</v>
      </c>
      <c r="B916" s="28" t="s">
        <v>1919</v>
      </c>
      <c r="C916" s="28">
        <v>350707.0</v>
      </c>
      <c r="D916" s="28" t="s">
        <v>1932</v>
      </c>
      <c r="E916" s="28" t="s">
        <v>1933</v>
      </c>
      <c r="F916" s="28">
        <v>1.0</v>
      </c>
      <c r="G916" s="28" t="s">
        <v>41</v>
      </c>
      <c r="H916" s="28" t="s">
        <v>57</v>
      </c>
      <c r="I916" s="28" t="s">
        <v>57</v>
      </c>
      <c r="J916" s="28"/>
      <c r="K916" s="29" t="s">
        <v>58</v>
      </c>
      <c r="L916" s="26"/>
      <c r="M916" s="25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ht="18.0" customHeight="1">
      <c r="A917" s="27">
        <v>507.0</v>
      </c>
      <c r="B917" s="28" t="s">
        <v>1919</v>
      </c>
      <c r="C917" s="28">
        <v>350708.0</v>
      </c>
      <c r="D917" s="28" t="s">
        <v>1934</v>
      </c>
      <c r="E917" s="28" t="s">
        <v>1935</v>
      </c>
      <c r="F917" s="28">
        <v>1.0</v>
      </c>
      <c r="G917" s="28" t="s">
        <v>41</v>
      </c>
      <c r="H917" s="28" t="s">
        <v>57</v>
      </c>
      <c r="I917" s="28" t="s">
        <v>57</v>
      </c>
      <c r="J917" s="28"/>
      <c r="K917" s="29" t="s">
        <v>58</v>
      </c>
      <c r="L917" s="26"/>
      <c r="M917" s="25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ht="18.0" customHeight="1">
      <c r="A918" s="27">
        <v>507.0</v>
      </c>
      <c r="B918" s="28" t="s">
        <v>1919</v>
      </c>
      <c r="C918" s="28">
        <v>350709.0</v>
      </c>
      <c r="D918" s="28" t="s">
        <v>1936</v>
      </c>
      <c r="E918" s="28" t="s">
        <v>1937</v>
      </c>
      <c r="F918" s="28">
        <v>1.0</v>
      </c>
      <c r="G918" s="28" t="s">
        <v>41</v>
      </c>
      <c r="H918" s="28" t="s">
        <v>52</v>
      </c>
      <c r="I918" s="28" t="s">
        <v>53</v>
      </c>
      <c r="J918" s="28"/>
      <c r="K918" s="29" t="s">
        <v>54</v>
      </c>
      <c r="L918" s="26"/>
      <c r="M918" s="25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ht="18.0" customHeight="1">
      <c r="A919" s="27">
        <v>507.0</v>
      </c>
      <c r="B919" s="28" t="s">
        <v>1919</v>
      </c>
      <c r="C919" s="28">
        <v>350710.0</v>
      </c>
      <c r="D919" s="28" t="s">
        <v>1938</v>
      </c>
      <c r="E919" s="28" t="s">
        <v>1939</v>
      </c>
      <c r="F919" s="28">
        <v>1.0</v>
      </c>
      <c r="G919" s="28" t="s">
        <v>41</v>
      </c>
      <c r="H919" s="28" t="s">
        <v>57</v>
      </c>
      <c r="I919" s="28" t="s">
        <v>57</v>
      </c>
      <c r="J919" s="28"/>
      <c r="K919" s="29" t="s">
        <v>58</v>
      </c>
      <c r="L919" s="26"/>
      <c r="M919" s="25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ht="18.0" customHeight="1">
      <c r="A920" s="27">
        <v>507.0</v>
      </c>
      <c r="B920" s="28" t="s">
        <v>1919</v>
      </c>
      <c r="C920" s="28">
        <v>350711.0</v>
      </c>
      <c r="D920" s="28" t="s">
        <v>1940</v>
      </c>
      <c r="E920" s="28" t="s">
        <v>1941</v>
      </c>
      <c r="F920" s="28">
        <v>1.0</v>
      </c>
      <c r="G920" s="28" t="s">
        <v>44</v>
      </c>
      <c r="H920" s="28" t="s">
        <v>61</v>
      </c>
      <c r="I920" s="28" t="s">
        <v>53</v>
      </c>
      <c r="J920" s="28"/>
      <c r="K920" s="29" t="s">
        <v>54</v>
      </c>
      <c r="L920" s="26"/>
      <c r="M920" s="25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ht="18.0" customHeight="1">
      <c r="A921" s="27">
        <v>507.0</v>
      </c>
      <c r="B921" s="28" t="s">
        <v>1919</v>
      </c>
      <c r="C921" s="28">
        <v>350712.0</v>
      </c>
      <c r="D921" s="28" t="s">
        <v>1942</v>
      </c>
      <c r="E921" s="28" t="s">
        <v>1943</v>
      </c>
      <c r="F921" s="28">
        <v>1.0</v>
      </c>
      <c r="G921" s="28" t="s">
        <v>41</v>
      </c>
      <c r="H921" s="28" t="s">
        <v>57</v>
      </c>
      <c r="I921" s="28" t="s">
        <v>57</v>
      </c>
      <c r="J921" s="28"/>
      <c r="K921" s="29" t="s">
        <v>58</v>
      </c>
      <c r="L921" s="26"/>
      <c r="M921" s="25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ht="18.0" customHeight="1">
      <c r="A922" s="27">
        <v>507.0</v>
      </c>
      <c r="B922" s="28" t="s">
        <v>1919</v>
      </c>
      <c r="C922" s="28">
        <v>350713.0</v>
      </c>
      <c r="D922" s="28" t="s">
        <v>1944</v>
      </c>
      <c r="E922" s="28" t="s">
        <v>1945</v>
      </c>
      <c r="F922" s="28">
        <v>1.0</v>
      </c>
      <c r="G922" s="28" t="s">
        <v>41</v>
      </c>
      <c r="H922" s="28" t="s">
        <v>57</v>
      </c>
      <c r="I922" s="28" t="s">
        <v>57</v>
      </c>
      <c r="J922" s="28"/>
      <c r="K922" s="29" t="s">
        <v>58</v>
      </c>
      <c r="L922" s="26"/>
      <c r="M922" s="25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ht="18.0" customHeight="1">
      <c r="A923" s="27">
        <v>507.0</v>
      </c>
      <c r="B923" s="28" t="s">
        <v>1919</v>
      </c>
      <c r="C923" s="28">
        <v>350714.0</v>
      </c>
      <c r="D923" s="28" t="s">
        <v>1946</v>
      </c>
      <c r="E923" s="28" t="s">
        <v>1947</v>
      </c>
      <c r="F923" s="28">
        <v>1.0</v>
      </c>
      <c r="G923" s="28" t="s">
        <v>41</v>
      </c>
      <c r="H923" s="28" t="s">
        <v>57</v>
      </c>
      <c r="I923" s="28" t="s">
        <v>57</v>
      </c>
      <c r="J923" s="28"/>
      <c r="K923" s="29" t="s">
        <v>58</v>
      </c>
      <c r="L923" s="26"/>
      <c r="M923" s="25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ht="18.0" customHeight="1">
      <c r="A924" s="27">
        <v>507.0</v>
      </c>
      <c r="B924" s="28" t="s">
        <v>1919</v>
      </c>
      <c r="C924" s="28">
        <v>350715.0</v>
      </c>
      <c r="D924" s="28" t="s">
        <v>1948</v>
      </c>
      <c r="E924" s="28" t="s">
        <v>1949</v>
      </c>
      <c r="F924" s="28">
        <v>1.0</v>
      </c>
      <c r="G924" s="28" t="s">
        <v>44</v>
      </c>
      <c r="H924" s="28" t="s">
        <v>61</v>
      </c>
      <c r="I924" s="28" t="s">
        <v>53</v>
      </c>
      <c r="J924" s="28"/>
      <c r="K924" s="29" t="s">
        <v>54</v>
      </c>
      <c r="L924" s="26"/>
      <c r="M924" s="25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ht="18.0" customHeight="1">
      <c r="A925" s="27">
        <v>507.0</v>
      </c>
      <c r="B925" s="28" t="s">
        <v>1919</v>
      </c>
      <c r="C925" s="28">
        <v>350716.0</v>
      </c>
      <c r="D925" s="28" t="s">
        <v>1950</v>
      </c>
      <c r="E925" s="28" t="s">
        <v>1951</v>
      </c>
      <c r="F925" s="28">
        <v>1.0</v>
      </c>
      <c r="G925" s="28" t="s">
        <v>41</v>
      </c>
      <c r="H925" s="28" t="s">
        <v>57</v>
      </c>
      <c r="I925" s="28" t="s">
        <v>57</v>
      </c>
      <c r="J925" s="28"/>
      <c r="K925" s="29" t="s">
        <v>58</v>
      </c>
      <c r="L925" s="26"/>
      <c r="M925" s="25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ht="18.0" customHeight="1">
      <c r="A926" s="27">
        <v>507.0</v>
      </c>
      <c r="B926" s="28" t="s">
        <v>1919</v>
      </c>
      <c r="C926" s="28">
        <v>350717.0</v>
      </c>
      <c r="D926" s="28" t="s">
        <v>1952</v>
      </c>
      <c r="E926" s="28" t="s">
        <v>1953</v>
      </c>
      <c r="F926" s="28">
        <v>1.0</v>
      </c>
      <c r="G926" s="28" t="s">
        <v>44</v>
      </c>
      <c r="H926" s="28" t="s">
        <v>57</v>
      </c>
      <c r="I926" s="28" t="s">
        <v>57</v>
      </c>
      <c r="J926" s="28"/>
      <c r="K926" s="29" t="s">
        <v>58</v>
      </c>
      <c r="L926" s="26"/>
      <c r="M926" s="25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ht="18.0" customHeight="1">
      <c r="A927" s="27">
        <v>507.0</v>
      </c>
      <c r="B927" s="28" t="s">
        <v>1919</v>
      </c>
      <c r="C927" s="28">
        <v>350718.0</v>
      </c>
      <c r="D927" s="28" t="s">
        <v>1954</v>
      </c>
      <c r="E927" s="28" t="s">
        <v>1955</v>
      </c>
      <c r="F927" s="28">
        <v>1.0</v>
      </c>
      <c r="G927" s="28" t="s">
        <v>44</v>
      </c>
      <c r="H927" s="28" t="s">
        <v>57</v>
      </c>
      <c r="I927" s="28" t="s">
        <v>57</v>
      </c>
      <c r="J927" s="28"/>
      <c r="K927" s="29" t="s">
        <v>58</v>
      </c>
      <c r="L927" s="26"/>
      <c r="M927" s="25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ht="18.0" customHeight="1">
      <c r="A928" s="27">
        <v>507.0</v>
      </c>
      <c r="B928" s="28" t="s">
        <v>1919</v>
      </c>
      <c r="C928" s="28">
        <v>350719.0</v>
      </c>
      <c r="D928" s="28" t="s">
        <v>1956</v>
      </c>
      <c r="E928" s="28" t="s">
        <v>1957</v>
      </c>
      <c r="F928" s="28">
        <v>1.0</v>
      </c>
      <c r="G928" s="28" t="s">
        <v>41</v>
      </c>
      <c r="H928" s="28" t="s">
        <v>57</v>
      </c>
      <c r="I928" s="28" t="s">
        <v>57</v>
      </c>
      <c r="J928" s="28"/>
      <c r="K928" s="29" t="s">
        <v>58</v>
      </c>
      <c r="L928" s="26"/>
      <c r="M928" s="25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ht="18.0" customHeight="1">
      <c r="A929" s="27">
        <v>507.0</v>
      </c>
      <c r="B929" s="28" t="s">
        <v>1919</v>
      </c>
      <c r="C929" s="28">
        <v>250701.0</v>
      </c>
      <c r="D929" s="28" t="s">
        <v>1958</v>
      </c>
      <c r="E929" s="28" t="s">
        <v>1959</v>
      </c>
      <c r="F929" s="28">
        <v>2.0</v>
      </c>
      <c r="G929" s="28" t="s">
        <v>41</v>
      </c>
      <c r="H929" s="28" t="s">
        <v>130</v>
      </c>
      <c r="I929" s="28" t="s">
        <v>53</v>
      </c>
      <c r="J929" s="28">
        <v>525166.0</v>
      </c>
      <c r="K929" s="29" t="s">
        <v>54</v>
      </c>
      <c r="L929" s="26"/>
      <c r="M929" s="25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ht="18.0" customHeight="1">
      <c r="A930" s="27">
        <v>507.0</v>
      </c>
      <c r="B930" s="28" t="s">
        <v>1919</v>
      </c>
      <c r="C930" s="28">
        <v>250704.0</v>
      </c>
      <c r="D930" s="28" t="s">
        <v>1960</v>
      </c>
      <c r="E930" s="28" t="s">
        <v>1961</v>
      </c>
      <c r="F930" s="28">
        <v>2.0</v>
      </c>
      <c r="G930" s="28" t="s">
        <v>44</v>
      </c>
      <c r="H930" s="28" t="s">
        <v>57</v>
      </c>
      <c r="I930" s="28" t="s">
        <v>57</v>
      </c>
      <c r="J930" s="28"/>
      <c r="K930" s="29" t="s">
        <v>58</v>
      </c>
      <c r="L930" s="26"/>
      <c r="M930" s="25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ht="18.0" customHeight="1">
      <c r="A931" s="27">
        <v>507.0</v>
      </c>
      <c r="B931" s="28" t="s">
        <v>1919</v>
      </c>
      <c r="C931" s="28">
        <v>250705.0</v>
      </c>
      <c r="D931" s="28" t="s">
        <v>1962</v>
      </c>
      <c r="E931" s="28" t="s">
        <v>1963</v>
      </c>
      <c r="F931" s="28">
        <v>2.0</v>
      </c>
      <c r="G931" s="28" t="s">
        <v>41</v>
      </c>
      <c r="H931" s="28" t="s">
        <v>222</v>
      </c>
      <c r="I931" s="28" t="s">
        <v>53</v>
      </c>
      <c r="J931" s="28"/>
      <c r="K931" s="29" t="s">
        <v>54</v>
      </c>
      <c r="L931" s="26"/>
      <c r="M931" s="25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ht="18.0" customHeight="1">
      <c r="A932" s="27">
        <v>507.0</v>
      </c>
      <c r="B932" s="28" t="s">
        <v>1919</v>
      </c>
      <c r="C932" s="28">
        <v>250706.0</v>
      </c>
      <c r="D932" s="28" t="s">
        <v>1964</v>
      </c>
      <c r="E932" s="28" t="s">
        <v>1965</v>
      </c>
      <c r="F932" s="28">
        <v>2.0</v>
      </c>
      <c r="G932" s="28" t="s">
        <v>41</v>
      </c>
      <c r="H932" s="28" t="s">
        <v>57</v>
      </c>
      <c r="I932" s="28" t="s">
        <v>57</v>
      </c>
      <c r="J932" s="28"/>
      <c r="K932" s="29" t="s">
        <v>58</v>
      </c>
      <c r="L932" s="26"/>
      <c r="M932" s="25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ht="18.0" customHeight="1">
      <c r="A933" s="27">
        <v>507.0</v>
      </c>
      <c r="B933" s="28" t="s">
        <v>1919</v>
      </c>
      <c r="C933" s="28">
        <v>250707.0</v>
      </c>
      <c r="D933" s="28" t="s">
        <v>1966</v>
      </c>
      <c r="E933" s="28" t="s">
        <v>1967</v>
      </c>
      <c r="F933" s="28">
        <v>2.0</v>
      </c>
      <c r="G933" s="28" t="s">
        <v>41</v>
      </c>
      <c r="H933" s="28" t="s">
        <v>57</v>
      </c>
      <c r="I933" s="28" t="s">
        <v>57</v>
      </c>
      <c r="J933" s="28"/>
      <c r="K933" s="29" t="s">
        <v>58</v>
      </c>
      <c r="L933" s="26"/>
      <c r="M933" s="25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ht="18.0" customHeight="1">
      <c r="A934" s="27">
        <v>507.0</v>
      </c>
      <c r="B934" s="28" t="s">
        <v>1919</v>
      </c>
      <c r="C934" s="28">
        <v>250709.0</v>
      </c>
      <c r="D934" s="28" t="s">
        <v>1968</v>
      </c>
      <c r="E934" s="28" t="s">
        <v>1969</v>
      </c>
      <c r="F934" s="28">
        <v>2.0</v>
      </c>
      <c r="G934" s="28" t="s">
        <v>41</v>
      </c>
      <c r="H934" s="28" t="s">
        <v>130</v>
      </c>
      <c r="I934" s="28" t="s">
        <v>53</v>
      </c>
      <c r="J934" s="28">
        <v>525164.0</v>
      </c>
      <c r="K934" s="29" t="s">
        <v>54</v>
      </c>
      <c r="L934" s="26"/>
      <c r="M934" s="25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ht="18.0" customHeight="1">
      <c r="A935" s="27">
        <v>507.0</v>
      </c>
      <c r="B935" s="28" t="s">
        <v>1919</v>
      </c>
      <c r="C935" s="28">
        <v>250710.0</v>
      </c>
      <c r="D935" s="28" t="s">
        <v>1970</v>
      </c>
      <c r="E935" s="28" t="s">
        <v>1971</v>
      </c>
      <c r="F935" s="28">
        <v>2.0</v>
      </c>
      <c r="G935" s="28" t="s">
        <v>41</v>
      </c>
      <c r="H935" s="28" t="s">
        <v>57</v>
      </c>
      <c r="I935" s="28" t="s">
        <v>57</v>
      </c>
      <c r="J935" s="28"/>
      <c r="K935" s="29" t="s">
        <v>58</v>
      </c>
      <c r="L935" s="26"/>
      <c r="M935" s="25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ht="18.0" customHeight="1">
      <c r="A936" s="27">
        <v>507.0</v>
      </c>
      <c r="B936" s="28" t="s">
        <v>1919</v>
      </c>
      <c r="C936" s="28">
        <v>250715.0</v>
      </c>
      <c r="D936" s="28" t="s">
        <v>1972</v>
      </c>
      <c r="E936" s="28" t="s">
        <v>1973</v>
      </c>
      <c r="F936" s="28">
        <v>2.0</v>
      </c>
      <c r="G936" s="28" t="s">
        <v>41</v>
      </c>
      <c r="H936" s="28" t="s">
        <v>222</v>
      </c>
      <c r="I936" s="28" t="s">
        <v>53</v>
      </c>
      <c r="J936" s="28"/>
      <c r="K936" s="29" t="s">
        <v>54</v>
      </c>
      <c r="L936" s="26"/>
      <c r="M936" s="25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ht="18.0" customHeight="1">
      <c r="A937" s="27">
        <v>507.0</v>
      </c>
      <c r="B937" s="28" t="s">
        <v>1919</v>
      </c>
      <c r="C937" s="28">
        <v>250718.0</v>
      </c>
      <c r="D937" s="28" t="s">
        <v>1974</v>
      </c>
      <c r="E937" s="28" t="s">
        <v>1975</v>
      </c>
      <c r="F937" s="28">
        <v>2.0</v>
      </c>
      <c r="G937" s="28" t="s">
        <v>41</v>
      </c>
      <c r="H937" s="28" t="s">
        <v>130</v>
      </c>
      <c r="I937" s="28" t="s">
        <v>53</v>
      </c>
      <c r="J937" s="28"/>
      <c r="K937" s="29" t="s">
        <v>54</v>
      </c>
      <c r="L937" s="26"/>
      <c r="M937" s="25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ht="18.0" customHeight="1">
      <c r="A938" s="27">
        <v>507.0</v>
      </c>
      <c r="B938" s="28" t="s">
        <v>1919</v>
      </c>
      <c r="C938" s="28">
        <v>250719.0</v>
      </c>
      <c r="D938" s="28" t="s">
        <v>1976</v>
      </c>
      <c r="E938" s="28" t="s">
        <v>1977</v>
      </c>
      <c r="F938" s="28">
        <v>2.0</v>
      </c>
      <c r="G938" s="28" t="s">
        <v>41</v>
      </c>
      <c r="H938" s="28" t="s">
        <v>57</v>
      </c>
      <c r="I938" s="28" t="s">
        <v>57</v>
      </c>
      <c r="J938" s="28"/>
      <c r="K938" s="29" t="s">
        <v>58</v>
      </c>
      <c r="L938" s="26"/>
      <c r="M938" s="25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ht="18.0" customHeight="1">
      <c r="A939" s="27">
        <v>507.0</v>
      </c>
      <c r="B939" s="28" t="s">
        <v>1919</v>
      </c>
      <c r="C939" s="28">
        <v>250724.0</v>
      </c>
      <c r="D939" s="28" t="s">
        <v>1978</v>
      </c>
      <c r="E939" s="28" t="s">
        <v>1979</v>
      </c>
      <c r="F939" s="28">
        <v>2.0</v>
      </c>
      <c r="G939" s="28" t="s">
        <v>44</v>
      </c>
      <c r="H939" s="28" t="s">
        <v>57</v>
      </c>
      <c r="I939" s="28" t="s">
        <v>57</v>
      </c>
      <c r="J939" s="28"/>
      <c r="K939" s="29" t="s">
        <v>58</v>
      </c>
      <c r="L939" s="26"/>
      <c r="M939" s="25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ht="18.0" customHeight="1">
      <c r="A940" s="27">
        <v>507.0</v>
      </c>
      <c r="B940" s="28" t="s">
        <v>1919</v>
      </c>
      <c r="C940" s="28">
        <v>150701.0</v>
      </c>
      <c r="D940" s="28" t="s">
        <v>1980</v>
      </c>
      <c r="E940" s="28" t="s">
        <v>1981</v>
      </c>
      <c r="F940" s="28">
        <v>3.0</v>
      </c>
      <c r="G940" s="28" t="s">
        <v>44</v>
      </c>
      <c r="H940" s="28" t="s">
        <v>119</v>
      </c>
      <c r="I940" s="28" t="s">
        <v>53</v>
      </c>
      <c r="J940" s="28">
        <v>519349.0</v>
      </c>
      <c r="K940" s="29" t="s">
        <v>54</v>
      </c>
      <c r="L940" s="26"/>
      <c r="M940" s="25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ht="18.0" customHeight="1">
      <c r="A941" s="27">
        <v>507.0</v>
      </c>
      <c r="B941" s="28" t="s">
        <v>1919</v>
      </c>
      <c r="C941" s="28">
        <v>150702.0</v>
      </c>
      <c r="D941" s="28" t="s">
        <v>1982</v>
      </c>
      <c r="E941" s="28" t="s">
        <v>1983</v>
      </c>
      <c r="F941" s="28">
        <v>3.0</v>
      </c>
      <c r="G941" s="28" t="s">
        <v>41</v>
      </c>
      <c r="H941" s="28" t="s">
        <v>130</v>
      </c>
      <c r="I941" s="28" t="s">
        <v>53</v>
      </c>
      <c r="J941" s="28">
        <v>519348.0</v>
      </c>
      <c r="K941" s="29" t="s">
        <v>54</v>
      </c>
      <c r="L941" s="26"/>
      <c r="M941" s="25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ht="18.0" customHeight="1">
      <c r="A942" s="27">
        <v>507.0</v>
      </c>
      <c r="B942" s="28" t="s">
        <v>1919</v>
      </c>
      <c r="C942" s="28">
        <v>150703.0</v>
      </c>
      <c r="D942" s="28" t="s">
        <v>1984</v>
      </c>
      <c r="E942" s="28" t="s">
        <v>1985</v>
      </c>
      <c r="F942" s="28">
        <v>3.0</v>
      </c>
      <c r="G942" s="28" t="s">
        <v>41</v>
      </c>
      <c r="H942" s="28" t="s">
        <v>57</v>
      </c>
      <c r="I942" s="28" t="s">
        <v>57</v>
      </c>
      <c r="J942" s="28"/>
      <c r="K942" s="29" t="s">
        <v>58</v>
      </c>
      <c r="L942" s="26"/>
      <c r="M942" s="25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ht="18.0" customHeight="1">
      <c r="A943" s="27">
        <v>507.0</v>
      </c>
      <c r="B943" s="28" t="s">
        <v>1919</v>
      </c>
      <c r="C943" s="28">
        <v>150706.0</v>
      </c>
      <c r="D943" s="28" t="s">
        <v>1986</v>
      </c>
      <c r="E943" s="28" t="s">
        <v>1987</v>
      </c>
      <c r="F943" s="28">
        <v>3.0</v>
      </c>
      <c r="G943" s="28" t="s">
        <v>41</v>
      </c>
      <c r="H943" s="28" t="s">
        <v>130</v>
      </c>
      <c r="I943" s="28" t="s">
        <v>53</v>
      </c>
      <c r="J943" s="28">
        <v>519350.0</v>
      </c>
      <c r="K943" s="29" t="s">
        <v>54</v>
      </c>
      <c r="L943" s="26"/>
      <c r="M943" s="25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ht="18.0" customHeight="1">
      <c r="A944" s="27">
        <v>507.0</v>
      </c>
      <c r="B944" s="28" t="s">
        <v>1919</v>
      </c>
      <c r="C944" s="28">
        <v>150710.0</v>
      </c>
      <c r="D944" s="28" t="s">
        <v>1988</v>
      </c>
      <c r="E944" s="28" t="s">
        <v>1989</v>
      </c>
      <c r="F944" s="28">
        <v>3.0</v>
      </c>
      <c r="G944" s="28" t="s">
        <v>44</v>
      </c>
      <c r="H944" s="28" t="s">
        <v>119</v>
      </c>
      <c r="I944" s="28" t="s">
        <v>53</v>
      </c>
      <c r="J944" s="28">
        <v>519347.0</v>
      </c>
      <c r="K944" s="29" t="s">
        <v>58</v>
      </c>
      <c r="L944" s="26"/>
      <c r="M944" s="25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ht="18.0" customHeight="1">
      <c r="A945" s="27">
        <v>507.0</v>
      </c>
      <c r="B945" s="28" t="s">
        <v>1919</v>
      </c>
      <c r="C945" s="28">
        <v>150711.0</v>
      </c>
      <c r="D945" s="28" t="s">
        <v>1990</v>
      </c>
      <c r="E945" s="28" t="s">
        <v>1991</v>
      </c>
      <c r="F945" s="28">
        <v>3.0</v>
      </c>
      <c r="G945" s="28" t="s">
        <v>41</v>
      </c>
      <c r="H945" s="28" t="s">
        <v>57</v>
      </c>
      <c r="I945" s="28" t="s">
        <v>57</v>
      </c>
      <c r="J945" s="28"/>
      <c r="K945" s="29" t="s">
        <v>58</v>
      </c>
      <c r="L945" s="26"/>
      <c r="M945" s="25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ht="18.0" customHeight="1">
      <c r="A946" s="27">
        <v>507.0</v>
      </c>
      <c r="B946" s="28" t="s">
        <v>1919</v>
      </c>
      <c r="C946" s="28">
        <v>150712.0</v>
      </c>
      <c r="D946" s="28" t="s">
        <v>1992</v>
      </c>
      <c r="E946" s="28" t="s">
        <v>1993</v>
      </c>
      <c r="F946" s="28">
        <v>3.0</v>
      </c>
      <c r="G946" s="28" t="s">
        <v>41</v>
      </c>
      <c r="H946" s="28" t="s">
        <v>57</v>
      </c>
      <c r="I946" s="28" t="s">
        <v>57</v>
      </c>
      <c r="J946" s="28"/>
      <c r="K946" s="29" t="s">
        <v>58</v>
      </c>
      <c r="L946" s="26"/>
      <c r="M946" s="25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ht="18.0" customHeight="1">
      <c r="A947" s="27">
        <v>507.0</v>
      </c>
      <c r="B947" s="28" t="s">
        <v>1919</v>
      </c>
      <c r="C947" s="28">
        <v>50701.0</v>
      </c>
      <c r="D947" s="28" t="s">
        <v>1994</v>
      </c>
      <c r="E947" s="28" t="s">
        <v>1995</v>
      </c>
      <c r="F947" s="28">
        <v>4.0</v>
      </c>
      <c r="G947" s="28" t="s">
        <v>41</v>
      </c>
      <c r="H947" s="28" t="s">
        <v>130</v>
      </c>
      <c r="I947" s="28" t="s">
        <v>53</v>
      </c>
      <c r="J947" s="28">
        <v>519346.0</v>
      </c>
      <c r="K947" s="29" t="s">
        <v>58</v>
      </c>
      <c r="L947" s="26"/>
      <c r="M947" s="25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ht="18.0" customHeight="1">
      <c r="A948" s="27">
        <v>507.0</v>
      </c>
      <c r="B948" s="28" t="s">
        <v>1919</v>
      </c>
      <c r="C948" s="28">
        <v>50705.0</v>
      </c>
      <c r="D948" s="28" t="s">
        <v>1996</v>
      </c>
      <c r="E948" s="28" t="s">
        <v>1997</v>
      </c>
      <c r="F948" s="28">
        <v>4.0</v>
      </c>
      <c r="G948" s="28" t="s">
        <v>44</v>
      </c>
      <c r="H948" s="28" t="s">
        <v>57</v>
      </c>
      <c r="I948" s="28" t="s">
        <v>57</v>
      </c>
      <c r="J948" s="28"/>
      <c r="K948" s="29" t="s">
        <v>58</v>
      </c>
      <c r="L948" s="26"/>
      <c r="M948" s="25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ht="18.0" customHeight="1">
      <c r="A949" s="27">
        <v>541.0</v>
      </c>
      <c r="B949" s="28" t="s">
        <v>1998</v>
      </c>
      <c r="C949" s="28">
        <v>354101.0</v>
      </c>
      <c r="D949" s="28" t="s">
        <v>1999</v>
      </c>
      <c r="E949" s="28" t="s">
        <v>2000</v>
      </c>
      <c r="F949" s="28">
        <v>1.0</v>
      </c>
      <c r="G949" s="28" t="s">
        <v>44</v>
      </c>
      <c r="H949" s="28" t="s">
        <v>57</v>
      </c>
      <c r="I949" s="28" t="s">
        <v>57</v>
      </c>
      <c r="J949" s="28"/>
      <c r="K949" s="29" t="s">
        <v>58</v>
      </c>
      <c r="L949" s="26"/>
      <c r="M949" s="25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ht="18.0" customHeight="1">
      <c r="A950" s="27">
        <v>541.0</v>
      </c>
      <c r="B950" s="28" t="s">
        <v>1998</v>
      </c>
      <c r="C950" s="28">
        <v>354102.0</v>
      </c>
      <c r="D950" s="28" t="s">
        <v>2001</v>
      </c>
      <c r="E950" s="28" t="s">
        <v>2002</v>
      </c>
      <c r="F950" s="28">
        <v>1.0</v>
      </c>
      <c r="G950" s="28" t="s">
        <v>44</v>
      </c>
      <c r="H950" s="28" t="s">
        <v>61</v>
      </c>
      <c r="I950" s="28" t="s">
        <v>53</v>
      </c>
      <c r="J950" s="28">
        <v>523106.0</v>
      </c>
      <c r="K950" s="29" t="s">
        <v>54</v>
      </c>
      <c r="L950" s="26"/>
      <c r="M950" s="25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ht="18.0" customHeight="1">
      <c r="A951" s="27">
        <v>541.0</v>
      </c>
      <c r="B951" s="28" t="s">
        <v>1998</v>
      </c>
      <c r="C951" s="28">
        <v>354103.0</v>
      </c>
      <c r="D951" s="28" t="s">
        <v>2003</v>
      </c>
      <c r="E951" s="28" t="s">
        <v>2004</v>
      </c>
      <c r="F951" s="28">
        <v>1.0</v>
      </c>
      <c r="G951" s="28" t="s">
        <v>44</v>
      </c>
      <c r="H951" s="28" t="s">
        <v>61</v>
      </c>
      <c r="I951" s="28" t="s">
        <v>53</v>
      </c>
      <c r="J951" s="28">
        <v>524671.0</v>
      </c>
      <c r="K951" s="29" t="s">
        <v>54</v>
      </c>
      <c r="L951" s="26"/>
      <c r="M951" s="25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ht="18.0" customHeight="1">
      <c r="A952" s="27">
        <v>541.0</v>
      </c>
      <c r="B952" s="28" t="s">
        <v>1998</v>
      </c>
      <c r="C952" s="28">
        <v>354104.0</v>
      </c>
      <c r="D952" s="28" t="s">
        <v>2005</v>
      </c>
      <c r="E952" s="28" t="s">
        <v>2006</v>
      </c>
      <c r="F952" s="28">
        <v>1.0</v>
      </c>
      <c r="G952" s="28" t="s">
        <v>44</v>
      </c>
      <c r="H952" s="28" t="s">
        <v>61</v>
      </c>
      <c r="I952" s="28" t="s">
        <v>53</v>
      </c>
      <c r="J952" s="28">
        <v>523108.0</v>
      </c>
      <c r="K952" s="29" t="s">
        <v>54</v>
      </c>
      <c r="L952" s="26"/>
      <c r="M952" s="25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ht="18.0" customHeight="1">
      <c r="A953" s="27">
        <v>541.0</v>
      </c>
      <c r="B953" s="28" t="s">
        <v>1998</v>
      </c>
      <c r="C953" s="28">
        <v>354105.0</v>
      </c>
      <c r="D953" s="28" t="s">
        <v>2007</v>
      </c>
      <c r="E953" s="28" t="s">
        <v>2008</v>
      </c>
      <c r="F953" s="28">
        <v>1.0</v>
      </c>
      <c r="G953" s="28" t="s">
        <v>44</v>
      </c>
      <c r="H953" s="28" t="s">
        <v>57</v>
      </c>
      <c r="I953" s="28" t="s">
        <v>57</v>
      </c>
      <c r="J953" s="28"/>
      <c r="K953" s="29" t="s">
        <v>58</v>
      </c>
      <c r="L953" s="26"/>
      <c r="M953" s="25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ht="18.0" customHeight="1">
      <c r="A954" s="27">
        <v>541.0</v>
      </c>
      <c r="B954" s="28" t="s">
        <v>1998</v>
      </c>
      <c r="C954" s="28">
        <v>354106.0</v>
      </c>
      <c r="D954" s="28" t="s">
        <v>2009</v>
      </c>
      <c r="E954" s="28" t="s">
        <v>2010</v>
      </c>
      <c r="F954" s="28">
        <v>1.0</v>
      </c>
      <c r="G954" s="28" t="s">
        <v>44</v>
      </c>
      <c r="H954" s="28" t="s">
        <v>57</v>
      </c>
      <c r="I954" s="28" t="s">
        <v>57</v>
      </c>
      <c r="J954" s="28"/>
      <c r="K954" s="29" t="s">
        <v>58</v>
      </c>
      <c r="L954" s="26"/>
      <c r="M954" s="25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ht="18.0" customHeight="1">
      <c r="A955" s="27">
        <v>541.0</v>
      </c>
      <c r="B955" s="28" t="s">
        <v>1998</v>
      </c>
      <c r="C955" s="28">
        <v>354107.0</v>
      </c>
      <c r="D955" s="28" t="s">
        <v>2011</v>
      </c>
      <c r="E955" s="28" t="s">
        <v>2012</v>
      </c>
      <c r="F955" s="28">
        <v>1.0</v>
      </c>
      <c r="G955" s="28" t="s">
        <v>44</v>
      </c>
      <c r="H955" s="28" t="s">
        <v>57</v>
      </c>
      <c r="I955" s="28" t="s">
        <v>57</v>
      </c>
      <c r="J955" s="28"/>
      <c r="K955" s="29" t="s">
        <v>58</v>
      </c>
      <c r="L955" s="26"/>
      <c r="M955" s="25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ht="18.0" customHeight="1">
      <c r="A956" s="27">
        <v>541.0</v>
      </c>
      <c r="B956" s="28" t="s">
        <v>1998</v>
      </c>
      <c r="C956" s="28">
        <v>354108.0</v>
      </c>
      <c r="D956" s="28" t="s">
        <v>2013</v>
      </c>
      <c r="E956" s="28" t="s">
        <v>2014</v>
      </c>
      <c r="F956" s="28">
        <v>1.0</v>
      </c>
      <c r="G956" s="28" t="s">
        <v>44</v>
      </c>
      <c r="H956" s="28" t="s">
        <v>57</v>
      </c>
      <c r="I956" s="28" t="s">
        <v>57</v>
      </c>
      <c r="J956" s="28"/>
      <c r="K956" s="29" t="s">
        <v>58</v>
      </c>
      <c r="L956" s="26"/>
      <c r="M956" s="25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ht="18.0" customHeight="1">
      <c r="A957" s="27">
        <v>541.0</v>
      </c>
      <c r="B957" s="28" t="s">
        <v>1998</v>
      </c>
      <c r="C957" s="28">
        <v>354109.0</v>
      </c>
      <c r="D957" s="28" t="s">
        <v>2015</v>
      </c>
      <c r="E957" s="28" t="s">
        <v>2016</v>
      </c>
      <c r="F957" s="28">
        <v>1.0</v>
      </c>
      <c r="G957" s="28" t="s">
        <v>44</v>
      </c>
      <c r="H957" s="28" t="s">
        <v>57</v>
      </c>
      <c r="I957" s="28" t="s">
        <v>57</v>
      </c>
      <c r="J957" s="28"/>
      <c r="K957" s="29" t="s">
        <v>58</v>
      </c>
      <c r="L957" s="26"/>
      <c r="M957" s="25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ht="18.0" customHeight="1">
      <c r="A958" s="27">
        <v>541.0</v>
      </c>
      <c r="B958" s="28" t="s">
        <v>1998</v>
      </c>
      <c r="C958" s="28">
        <v>354110.0</v>
      </c>
      <c r="D958" s="28" t="s">
        <v>2017</v>
      </c>
      <c r="E958" s="28" t="s">
        <v>2018</v>
      </c>
      <c r="F958" s="28">
        <v>1.0</v>
      </c>
      <c r="G958" s="28" t="s">
        <v>44</v>
      </c>
      <c r="H958" s="28" t="s">
        <v>61</v>
      </c>
      <c r="I958" s="28" t="s">
        <v>53</v>
      </c>
      <c r="J958" s="28">
        <v>524669.0</v>
      </c>
      <c r="K958" s="29" t="s">
        <v>54</v>
      </c>
      <c r="L958" s="26"/>
      <c r="M958" s="25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ht="18.0" customHeight="1">
      <c r="A959" s="27">
        <v>541.0</v>
      </c>
      <c r="B959" s="28" t="s">
        <v>1998</v>
      </c>
      <c r="C959" s="28">
        <v>354112.0</v>
      </c>
      <c r="D959" s="28" t="s">
        <v>2019</v>
      </c>
      <c r="E959" s="28" t="s">
        <v>2020</v>
      </c>
      <c r="F959" s="28">
        <v>1.0</v>
      </c>
      <c r="G959" s="28" t="s">
        <v>44</v>
      </c>
      <c r="H959" s="28" t="s">
        <v>61</v>
      </c>
      <c r="I959" s="28" t="s">
        <v>53</v>
      </c>
      <c r="J959" s="28">
        <v>524670.0</v>
      </c>
      <c r="K959" s="29" t="s">
        <v>54</v>
      </c>
      <c r="L959" s="26"/>
      <c r="M959" s="25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ht="18.0" customHeight="1">
      <c r="A960" s="27">
        <v>541.0</v>
      </c>
      <c r="B960" s="28" t="s">
        <v>1998</v>
      </c>
      <c r="C960" s="28">
        <v>254102.0</v>
      </c>
      <c r="D960" s="28" t="s">
        <v>2021</v>
      </c>
      <c r="E960" s="28" t="s">
        <v>2022</v>
      </c>
      <c r="F960" s="28">
        <v>2.0</v>
      </c>
      <c r="G960" s="28" t="s">
        <v>44</v>
      </c>
      <c r="H960" s="28" t="s">
        <v>119</v>
      </c>
      <c r="I960" s="28" t="s">
        <v>53</v>
      </c>
      <c r="J960" s="28">
        <v>525176.0</v>
      </c>
      <c r="K960" s="29" t="s">
        <v>58</v>
      </c>
      <c r="L960" s="26"/>
      <c r="M960" s="25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ht="18.0" customHeight="1">
      <c r="A961" s="27">
        <v>541.0</v>
      </c>
      <c r="B961" s="28" t="s">
        <v>1998</v>
      </c>
      <c r="C961" s="28">
        <v>254103.0</v>
      </c>
      <c r="D961" s="28" t="s">
        <v>2023</v>
      </c>
      <c r="E961" s="28" t="s">
        <v>2024</v>
      </c>
      <c r="F961" s="28">
        <v>2.0</v>
      </c>
      <c r="G961" s="28" t="s">
        <v>44</v>
      </c>
      <c r="H961" s="28" t="s">
        <v>114</v>
      </c>
      <c r="I961" s="28" t="s">
        <v>53</v>
      </c>
      <c r="J961" s="28">
        <v>523107.0</v>
      </c>
      <c r="K961" s="29" t="s">
        <v>58</v>
      </c>
      <c r="L961" s="26"/>
      <c r="M961" s="25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ht="18.0" customHeight="1">
      <c r="A962" s="27">
        <v>541.0</v>
      </c>
      <c r="B962" s="28" t="s">
        <v>1998</v>
      </c>
      <c r="C962" s="28">
        <v>254104.0</v>
      </c>
      <c r="D962" s="28" t="s">
        <v>2025</v>
      </c>
      <c r="E962" s="28" t="s">
        <v>2026</v>
      </c>
      <c r="F962" s="28">
        <v>2.0</v>
      </c>
      <c r="G962" s="28" t="s">
        <v>44</v>
      </c>
      <c r="H962" s="28" t="s">
        <v>119</v>
      </c>
      <c r="I962" s="28" t="s">
        <v>53</v>
      </c>
      <c r="J962" s="28">
        <v>525153.0</v>
      </c>
      <c r="K962" s="29" t="s">
        <v>58</v>
      </c>
      <c r="L962" s="26"/>
      <c r="M962" s="25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ht="18.0" customHeight="1">
      <c r="A963" s="27">
        <v>541.0</v>
      </c>
      <c r="B963" s="28" t="s">
        <v>1998</v>
      </c>
      <c r="C963" s="28">
        <v>254105.0</v>
      </c>
      <c r="D963" s="28" t="s">
        <v>2027</v>
      </c>
      <c r="E963" s="28" t="s">
        <v>2028</v>
      </c>
      <c r="F963" s="28">
        <v>2.0</v>
      </c>
      <c r="G963" s="28" t="s">
        <v>44</v>
      </c>
      <c r="H963" s="28" t="s">
        <v>57</v>
      </c>
      <c r="I963" s="28" t="s">
        <v>57</v>
      </c>
      <c r="J963" s="28"/>
      <c r="K963" s="29" t="s">
        <v>58</v>
      </c>
      <c r="L963" s="26"/>
      <c r="M963" s="25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ht="18.0" customHeight="1">
      <c r="A964" s="27">
        <v>541.0</v>
      </c>
      <c r="B964" s="28" t="s">
        <v>1998</v>
      </c>
      <c r="C964" s="28">
        <v>154102.0</v>
      </c>
      <c r="D964" s="28" t="s">
        <v>2029</v>
      </c>
      <c r="E964" s="28" t="s">
        <v>2030</v>
      </c>
      <c r="F964" s="28">
        <v>3.0</v>
      </c>
      <c r="G964" s="28" t="s">
        <v>44</v>
      </c>
      <c r="H964" s="28" t="s">
        <v>119</v>
      </c>
      <c r="I964" s="28" t="s">
        <v>53</v>
      </c>
      <c r="J964" s="28">
        <v>525160.0</v>
      </c>
      <c r="K964" s="29" t="s">
        <v>58</v>
      </c>
      <c r="L964" s="26"/>
      <c r="M964" s="25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ht="18.0" customHeight="1">
      <c r="A965" s="27">
        <v>541.0</v>
      </c>
      <c r="B965" s="28" t="s">
        <v>1998</v>
      </c>
      <c r="C965" s="28">
        <v>154107.0</v>
      </c>
      <c r="D965" s="28" t="s">
        <v>2031</v>
      </c>
      <c r="E965" s="28" t="s">
        <v>2032</v>
      </c>
      <c r="F965" s="28">
        <v>3.0</v>
      </c>
      <c r="G965" s="28" t="s">
        <v>44</v>
      </c>
      <c r="H965" s="28" t="s">
        <v>57</v>
      </c>
      <c r="I965" s="28" t="s">
        <v>57</v>
      </c>
      <c r="J965" s="28"/>
      <c r="K965" s="29" t="s">
        <v>58</v>
      </c>
      <c r="L965" s="26"/>
      <c r="M965" s="25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ht="18.0" customHeight="1">
      <c r="A966" s="27">
        <v>541.0</v>
      </c>
      <c r="B966" s="28" t="s">
        <v>1998</v>
      </c>
      <c r="C966" s="28">
        <v>154108.0</v>
      </c>
      <c r="D966" s="28" t="s">
        <v>2033</v>
      </c>
      <c r="E966" s="28" t="s">
        <v>2034</v>
      </c>
      <c r="F966" s="28">
        <v>3.0</v>
      </c>
      <c r="G966" s="28" t="s">
        <v>44</v>
      </c>
      <c r="H966" s="28" t="s">
        <v>57</v>
      </c>
      <c r="I966" s="28" t="s">
        <v>57</v>
      </c>
      <c r="J966" s="28"/>
      <c r="K966" s="29" t="s">
        <v>58</v>
      </c>
      <c r="L966" s="26"/>
      <c r="M966" s="25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ht="18.0" customHeight="1">
      <c r="A967" s="27">
        <v>541.0</v>
      </c>
      <c r="B967" s="28" t="s">
        <v>1998</v>
      </c>
      <c r="C967" s="28">
        <v>154109.0</v>
      </c>
      <c r="D967" s="28" t="s">
        <v>2035</v>
      </c>
      <c r="E967" s="28" t="s">
        <v>2036</v>
      </c>
      <c r="F967" s="28">
        <v>3.0</v>
      </c>
      <c r="G967" s="28" t="s">
        <v>44</v>
      </c>
      <c r="H967" s="28" t="s">
        <v>119</v>
      </c>
      <c r="I967" s="28" t="s">
        <v>53</v>
      </c>
      <c r="J967" s="28">
        <v>524672.0</v>
      </c>
      <c r="K967" s="29" t="s">
        <v>58</v>
      </c>
      <c r="L967" s="26"/>
      <c r="M967" s="25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ht="18.0" customHeight="1">
      <c r="A968" s="27">
        <v>541.0</v>
      </c>
      <c r="B968" s="28" t="s">
        <v>1998</v>
      </c>
      <c r="C968" s="28">
        <v>54101.0</v>
      </c>
      <c r="D968" s="28" t="s">
        <v>2037</v>
      </c>
      <c r="E968" s="28" t="s">
        <v>2038</v>
      </c>
      <c r="F968" s="28">
        <v>4.0</v>
      </c>
      <c r="G968" s="28" t="s">
        <v>44</v>
      </c>
      <c r="H968" s="28" t="s">
        <v>119</v>
      </c>
      <c r="I968" s="28" t="s">
        <v>53</v>
      </c>
      <c r="J968" s="28">
        <v>523104.0</v>
      </c>
      <c r="K968" s="29" t="s">
        <v>58</v>
      </c>
      <c r="L968" s="26"/>
      <c r="M968" s="25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ht="18.0" customHeight="1">
      <c r="A969" s="27">
        <v>541.0</v>
      </c>
      <c r="B969" s="28" t="s">
        <v>1998</v>
      </c>
      <c r="C969" s="28">
        <v>54102.0</v>
      </c>
      <c r="D969" s="28" t="s">
        <v>2039</v>
      </c>
      <c r="E969" s="28" t="s">
        <v>2040</v>
      </c>
      <c r="F969" s="28">
        <v>4.0</v>
      </c>
      <c r="G969" s="28" t="s">
        <v>44</v>
      </c>
      <c r="H969" s="28" t="s">
        <v>57</v>
      </c>
      <c r="I969" s="28" t="s">
        <v>57</v>
      </c>
      <c r="J969" s="28"/>
      <c r="K969" s="29" t="s">
        <v>58</v>
      </c>
      <c r="L969" s="26"/>
      <c r="M969" s="25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ht="18.0" customHeight="1">
      <c r="A970" s="27">
        <v>544.0</v>
      </c>
      <c r="B970" s="28" t="s">
        <v>2041</v>
      </c>
      <c r="C970" s="28">
        <v>54401.0</v>
      </c>
      <c r="D970" s="28" t="s">
        <v>2042</v>
      </c>
      <c r="E970" s="28" t="s">
        <v>2043</v>
      </c>
      <c r="F970" s="28">
        <v>4.0</v>
      </c>
      <c r="G970" s="28" t="s">
        <v>41</v>
      </c>
      <c r="H970" s="28" t="s">
        <v>130</v>
      </c>
      <c r="I970" s="28" t="s">
        <v>53</v>
      </c>
      <c r="J970" s="28">
        <v>519404.0</v>
      </c>
      <c r="K970" s="29" t="s">
        <v>54</v>
      </c>
      <c r="L970" s="26"/>
      <c r="M970" s="25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ht="18.0" customHeight="1">
      <c r="A971" s="27">
        <v>545.0</v>
      </c>
      <c r="B971" s="28" t="s">
        <v>2044</v>
      </c>
      <c r="C971" s="28">
        <v>354501.0</v>
      </c>
      <c r="D971" s="28" t="s">
        <v>2045</v>
      </c>
      <c r="E971" s="28" t="s">
        <v>2046</v>
      </c>
      <c r="F971" s="28">
        <v>1.0</v>
      </c>
      <c r="G971" s="28" t="s">
        <v>44</v>
      </c>
      <c r="H971" s="28" t="s">
        <v>57</v>
      </c>
      <c r="I971" s="28" t="s">
        <v>57</v>
      </c>
      <c r="J971" s="28"/>
      <c r="K971" s="29" t="s">
        <v>58</v>
      </c>
      <c r="L971" s="26"/>
      <c r="M971" s="25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ht="18.0" customHeight="1">
      <c r="A972" s="27">
        <v>545.0</v>
      </c>
      <c r="B972" s="28" t="s">
        <v>2044</v>
      </c>
      <c r="C972" s="28">
        <v>354502.0</v>
      </c>
      <c r="D972" s="28" t="s">
        <v>2047</v>
      </c>
      <c r="E972" s="28" t="s">
        <v>2048</v>
      </c>
      <c r="F972" s="28">
        <v>1.0</v>
      </c>
      <c r="G972" s="28" t="s">
        <v>44</v>
      </c>
      <c r="H972" s="28" t="s">
        <v>57</v>
      </c>
      <c r="I972" s="28" t="s">
        <v>57</v>
      </c>
      <c r="J972" s="28"/>
      <c r="K972" s="29" t="s">
        <v>58</v>
      </c>
      <c r="L972" s="26"/>
      <c r="M972" s="25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ht="18.0" customHeight="1">
      <c r="A973" s="27">
        <v>545.0</v>
      </c>
      <c r="B973" s="28" t="s">
        <v>2044</v>
      </c>
      <c r="C973" s="28">
        <v>354503.0</v>
      </c>
      <c r="D973" s="28" t="s">
        <v>2049</v>
      </c>
      <c r="E973" s="28" t="s">
        <v>2050</v>
      </c>
      <c r="F973" s="28">
        <v>1.0</v>
      </c>
      <c r="G973" s="28" t="s">
        <v>44</v>
      </c>
      <c r="H973" s="28" t="s">
        <v>57</v>
      </c>
      <c r="I973" s="28" t="s">
        <v>57</v>
      </c>
      <c r="J973" s="28"/>
      <c r="K973" s="29" t="s">
        <v>58</v>
      </c>
      <c r="L973" s="26"/>
      <c r="M973" s="25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ht="18.0" customHeight="1">
      <c r="A974" s="27">
        <v>545.0</v>
      </c>
      <c r="B974" s="28" t="s">
        <v>2044</v>
      </c>
      <c r="C974" s="28">
        <v>354504.0</v>
      </c>
      <c r="D974" s="28" t="s">
        <v>2051</v>
      </c>
      <c r="E974" s="28" t="s">
        <v>2052</v>
      </c>
      <c r="F974" s="28">
        <v>1.0</v>
      </c>
      <c r="G974" s="28" t="s">
        <v>44</v>
      </c>
      <c r="H974" s="28" t="s">
        <v>57</v>
      </c>
      <c r="I974" s="28" t="s">
        <v>57</v>
      </c>
      <c r="J974" s="28"/>
      <c r="K974" s="29" t="s">
        <v>58</v>
      </c>
      <c r="L974" s="26"/>
      <c r="M974" s="25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ht="18.0" customHeight="1">
      <c r="A975" s="27">
        <v>545.0</v>
      </c>
      <c r="B975" s="28" t="s">
        <v>2044</v>
      </c>
      <c r="C975" s="28">
        <v>354505.0</v>
      </c>
      <c r="D975" s="28" t="s">
        <v>2053</v>
      </c>
      <c r="E975" s="28" t="s">
        <v>2054</v>
      </c>
      <c r="F975" s="28">
        <v>1.0</v>
      </c>
      <c r="G975" s="28" t="s">
        <v>44</v>
      </c>
      <c r="H975" s="28" t="s">
        <v>57</v>
      </c>
      <c r="I975" s="28" t="s">
        <v>57</v>
      </c>
      <c r="J975" s="28"/>
      <c r="K975" s="29" t="s">
        <v>58</v>
      </c>
      <c r="L975" s="26"/>
      <c r="M975" s="25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ht="18.0" customHeight="1">
      <c r="A976" s="27">
        <v>545.0</v>
      </c>
      <c r="B976" s="28" t="s">
        <v>2044</v>
      </c>
      <c r="C976" s="28">
        <v>354506.0</v>
      </c>
      <c r="D976" s="28" t="s">
        <v>2055</v>
      </c>
      <c r="E976" s="28" t="s">
        <v>2056</v>
      </c>
      <c r="F976" s="28">
        <v>1.0</v>
      </c>
      <c r="G976" s="28" t="s">
        <v>44</v>
      </c>
      <c r="H976" s="28" t="s">
        <v>57</v>
      </c>
      <c r="I976" s="28" t="s">
        <v>57</v>
      </c>
      <c r="J976" s="28"/>
      <c r="K976" s="29" t="s">
        <v>58</v>
      </c>
      <c r="L976" s="26"/>
      <c r="M976" s="25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ht="18.0" customHeight="1">
      <c r="A977" s="27">
        <v>545.0</v>
      </c>
      <c r="B977" s="28" t="s">
        <v>2044</v>
      </c>
      <c r="C977" s="28">
        <v>354507.0</v>
      </c>
      <c r="D977" s="28" t="s">
        <v>2057</v>
      </c>
      <c r="E977" s="28" t="s">
        <v>2058</v>
      </c>
      <c r="F977" s="28">
        <v>1.0</v>
      </c>
      <c r="G977" s="28" t="s">
        <v>44</v>
      </c>
      <c r="H977" s="28" t="s">
        <v>57</v>
      </c>
      <c r="I977" s="28" t="s">
        <v>57</v>
      </c>
      <c r="J977" s="28"/>
      <c r="K977" s="29" t="s">
        <v>58</v>
      </c>
      <c r="L977" s="26"/>
      <c r="M977" s="25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ht="18.0" customHeight="1">
      <c r="A978" s="27">
        <v>545.0</v>
      </c>
      <c r="B978" s="28" t="s">
        <v>2044</v>
      </c>
      <c r="C978" s="28">
        <v>354508.0</v>
      </c>
      <c r="D978" s="28" t="s">
        <v>2059</v>
      </c>
      <c r="E978" s="28" t="s">
        <v>2060</v>
      </c>
      <c r="F978" s="28">
        <v>1.0</v>
      </c>
      <c r="G978" s="28" t="s">
        <v>44</v>
      </c>
      <c r="H978" s="28" t="s">
        <v>57</v>
      </c>
      <c r="I978" s="28" t="s">
        <v>57</v>
      </c>
      <c r="J978" s="28"/>
      <c r="K978" s="29" t="s">
        <v>58</v>
      </c>
      <c r="L978" s="26"/>
      <c r="M978" s="25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ht="18.0" customHeight="1">
      <c r="A979" s="27">
        <v>545.0</v>
      </c>
      <c r="B979" s="28" t="s">
        <v>2044</v>
      </c>
      <c r="C979" s="28">
        <v>354509.0</v>
      </c>
      <c r="D979" s="28" t="s">
        <v>2061</v>
      </c>
      <c r="E979" s="28" t="s">
        <v>2062</v>
      </c>
      <c r="F979" s="28">
        <v>1.0</v>
      </c>
      <c r="G979" s="28" t="s">
        <v>44</v>
      </c>
      <c r="H979" s="28" t="s">
        <v>57</v>
      </c>
      <c r="I979" s="28" t="s">
        <v>57</v>
      </c>
      <c r="J979" s="28"/>
      <c r="K979" s="29" t="s">
        <v>58</v>
      </c>
      <c r="L979" s="26"/>
      <c r="M979" s="25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ht="18.0" customHeight="1">
      <c r="A980" s="27">
        <v>545.0</v>
      </c>
      <c r="B980" s="28" t="s">
        <v>2044</v>
      </c>
      <c r="C980" s="28">
        <v>354510.0</v>
      </c>
      <c r="D980" s="28" t="s">
        <v>2063</v>
      </c>
      <c r="E980" s="28" t="s">
        <v>2064</v>
      </c>
      <c r="F980" s="28">
        <v>1.0</v>
      </c>
      <c r="G980" s="28" t="s">
        <v>44</v>
      </c>
      <c r="H980" s="28" t="s">
        <v>57</v>
      </c>
      <c r="I980" s="28" t="s">
        <v>57</v>
      </c>
      <c r="J980" s="28"/>
      <c r="K980" s="29" t="s">
        <v>58</v>
      </c>
      <c r="L980" s="26"/>
      <c r="M980" s="25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ht="18.0" customHeight="1">
      <c r="A981" s="27">
        <v>545.0</v>
      </c>
      <c r="B981" s="28" t="s">
        <v>2044</v>
      </c>
      <c r="C981" s="28">
        <v>354511.0</v>
      </c>
      <c r="D981" s="28" t="s">
        <v>2065</v>
      </c>
      <c r="E981" s="28" t="s">
        <v>2066</v>
      </c>
      <c r="F981" s="28">
        <v>1.0</v>
      </c>
      <c r="G981" s="28" t="s">
        <v>44</v>
      </c>
      <c r="H981" s="28" t="s">
        <v>61</v>
      </c>
      <c r="I981" s="28" t="s">
        <v>53</v>
      </c>
      <c r="J981" s="28">
        <v>530297.0</v>
      </c>
      <c r="K981" s="29" t="s">
        <v>54</v>
      </c>
      <c r="L981" s="26"/>
      <c r="M981" s="25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ht="18.0" customHeight="1">
      <c r="A982" s="27">
        <v>545.0</v>
      </c>
      <c r="B982" s="28" t="s">
        <v>2044</v>
      </c>
      <c r="C982" s="28">
        <v>354512.0</v>
      </c>
      <c r="D982" s="28" t="s">
        <v>2067</v>
      </c>
      <c r="E982" s="28" t="s">
        <v>2068</v>
      </c>
      <c r="F982" s="28">
        <v>1.0</v>
      </c>
      <c r="G982" s="28" t="s">
        <v>44</v>
      </c>
      <c r="H982" s="28" t="s">
        <v>57</v>
      </c>
      <c r="I982" s="28" t="s">
        <v>57</v>
      </c>
      <c r="J982" s="28"/>
      <c r="K982" s="29" t="s">
        <v>58</v>
      </c>
      <c r="L982" s="26"/>
      <c r="M982" s="25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ht="18.0" customHeight="1">
      <c r="A983" s="27">
        <v>545.0</v>
      </c>
      <c r="B983" s="28" t="s">
        <v>2044</v>
      </c>
      <c r="C983" s="28">
        <v>354513.0</v>
      </c>
      <c r="D983" s="28" t="s">
        <v>2069</v>
      </c>
      <c r="E983" s="28" t="s">
        <v>2070</v>
      </c>
      <c r="F983" s="28">
        <v>1.0</v>
      </c>
      <c r="G983" s="28" t="s">
        <v>44</v>
      </c>
      <c r="H983" s="28" t="s">
        <v>57</v>
      </c>
      <c r="I983" s="28" t="s">
        <v>57</v>
      </c>
      <c r="J983" s="28"/>
      <c r="K983" s="29" t="s">
        <v>58</v>
      </c>
      <c r="L983" s="26"/>
      <c r="M983" s="25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ht="18.0" customHeight="1">
      <c r="A984" s="27">
        <v>545.0</v>
      </c>
      <c r="B984" s="28" t="s">
        <v>2044</v>
      </c>
      <c r="C984" s="28">
        <v>354514.0</v>
      </c>
      <c r="D984" s="28" t="s">
        <v>2071</v>
      </c>
      <c r="E984" s="28" t="s">
        <v>2072</v>
      </c>
      <c r="F984" s="28">
        <v>1.0</v>
      </c>
      <c r="G984" s="28" t="s">
        <v>44</v>
      </c>
      <c r="H984" s="28" t="s">
        <v>57</v>
      </c>
      <c r="I984" s="28" t="s">
        <v>57</v>
      </c>
      <c r="J984" s="28"/>
      <c r="K984" s="29" t="s">
        <v>58</v>
      </c>
      <c r="L984" s="26"/>
      <c r="M984" s="25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ht="18.0" customHeight="1">
      <c r="A985" s="27">
        <v>545.0</v>
      </c>
      <c r="B985" s="28" t="s">
        <v>2044</v>
      </c>
      <c r="C985" s="28">
        <v>254501.0</v>
      </c>
      <c r="D985" s="28" t="s">
        <v>2073</v>
      </c>
      <c r="E985" s="28" t="s">
        <v>2074</v>
      </c>
      <c r="F985" s="28">
        <v>2.0</v>
      </c>
      <c r="G985" s="28" t="s">
        <v>44</v>
      </c>
      <c r="H985" s="28" t="s">
        <v>57</v>
      </c>
      <c r="I985" s="28" t="s">
        <v>57</v>
      </c>
      <c r="J985" s="28"/>
      <c r="K985" s="29" t="s">
        <v>58</v>
      </c>
      <c r="L985" s="26"/>
      <c r="M985" s="25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ht="18.0" customHeight="1">
      <c r="A986" s="27">
        <v>545.0</v>
      </c>
      <c r="B986" s="28" t="s">
        <v>2044</v>
      </c>
      <c r="C986" s="28">
        <v>254502.0</v>
      </c>
      <c r="D986" s="28" t="s">
        <v>2075</v>
      </c>
      <c r="E986" s="28" t="s">
        <v>2076</v>
      </c>
      <c r="F986" s="28">
        <v>2.0</v>
      </c>
      <c r="G986" s="28" t="s">
        <v>44</v>
      </c>
      <c r="H986" s="28" t="s">
        <v>57</v>
      </c>
      <c r="I986" s="28" t="s">
        <v>57</v>
      </c>
      <c r="J986" s="28"/>
      <c r="K986" s="29" t="s">
        <v>58</v>
      </c>
      <c r="L986" s="26"/>
      <c r="M986" s="25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ht="18.0" customHeight="1">
      <c r="A987" s="27">
        <v>545.0</v>
      </c>
      <c r="B987" s="28" t="s">
        <v>2044</v>
      </c>
      <c r="C987" s="28">
        <v>254503.0</v>
      </c>
      <c r="D987" s="28" t="s">
        <v>2077</v>
      </c>
      <c r="E987" s="28" t="s">
        <v>2078</v>
      </c>
      <c r="F987" s="28">
        <v>2.0</v>
      </c>
      <c r="G987" s="28" t="s">
        <v>44</v>
      </c>
      <c r="H987" s="28" t="s">
        <v>57</v>
      </c>
      <c r="I987" s="28" t="s">
        <v>57</v>
      </c>
      <c r="J987" s="28"/>
      <c r="K987" s="29" t="s">
        <v>58</v>
      </c>
      <c r="L987" s="26"/>
      <c r="M987" s="25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ht="18.0" customHeight="1">
      <c r="A988" s="27">
        <v>545.0</v>
      </c>
      <c r="B988" s="28" t="s">
        <v>2044</v>
      </c>
      <c r="C988" s="28">
        <v>254505.0</v>
      </c>
      <c r="D988" s="28" t="s">
        <v>2079</v>
      </c>
      <c r="E988" s="28" t="s">
        <v>2080</v>
      </c>
      <c r="F988" s="28">
        <v>2.0</v>
      </c>
      <c r="G988" s="28" t="s">
        <v>44</v>
      </c>
      <c r="H988" s="28" t="s">
        <v>57</v>
      </c>
      <c r="I988" s="28" t="s">
        <v>57</v>
      </c>
      <c r="J988" s="28"/>
      <c r="K988" s="29" t="s">
        <v>58</v>
      </c>
      <c r="L988" s="26"/>
      <c r="M988" s="25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ht="18.0" customHeight="1">
      <c r="A989" s="27">
        <v>545.0</v>
      </c>
      <c r="B989" s="28" t="s">
        <v>2044</v>
      </c>
      <c r="C989" s="28">
        <v>254507.0</v>
      </c>
      <c r="D989" s="28" t="s">
        <v>2081</v>
      </c>
      <c r="E989" s="28" t="s">
        <v>2082</v>
      </c>
      <c r="F989" s="28">
        <v>2.0</v>
      </c>
      <c r="G989" s="28" t="s">
        <v>44</v>
      </c>
      <c r="H989" s="28" t="s">
        <v>57</v>
      </c>
      <c r="I989" s="28" t="s">
        <v>57</v>
      </c>
      <c r="J989" s="28"/>
      <c r="K989" s="29" t="s">
        <v>58</v>
      </c>
      <c r="L989" s="26"/>
      <c r="M989" s="25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ht="18.0" customHeight="1">
      <c r="A990" s="27">
        <v>545.0</v>
      </c>
      <c r="B990" s="28" t="s">
        <v>2044</v>
      </c>
      <c r="C990" s="28">
        <v>254508.0</v>
      </c>
      <c r="D990" s="28" t="s">
        <v>2083</v>
      </c>
      <c r="E990" s="28" t="s">
        <v>2084</v>
      </c>
      <c r="F990" s="28">
        <v>2.0</v>
      </c>
      <c r="G990" s="28" t="s">
        <v>44</v>
      </c>
      <c r="H990" s="28" t="s">
        <v>57</v>
      </c>
      <c r="I990" s="28" t="s">
        <v>57</v>
      </c>
      <c r="J990" s="28"/>
      <c r="K990" s="29" t="s">
        <v>58</v>
      </c>
      <c r="L990" s="26"/>
      <c r="M990" s="25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ht="18.0" customHeight="1">
      <c r="A991" s="27">
        <v>545.0</v>
      </c>
      <c r="B991" s="28" t="s">
        <v>2044</v>
      </c>
      <c r="C991" s="28">
        <v>254509.0</v>
      </c>
      <c r="D991" s="28" t="s">
        <v>2085</v>
      </c>
      <c r="E991" s="28" t="s">
        <v>2086</v>
      </c>
      <c r="F991" s="28">
        <v>2.0</v>
      </c>
      <c r="G991" s="28" t="s">
        <v>44</v>
      </c>
      <c r="H991" s="28" t="s">
        <v>57</v>
      </c>
      <c r="I991" s="28" t="s">
        <v>57</v>
      </c>
      <c r="J991" s="28"/>
      <c r="K991" s="29" t="s">
        <v>58</v>
      </c>
      <c r="L991" s="26"/>
      <c r="M991" s="25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ht="18.0" customHeight="1">
      <c r="A992" s="27">
        <v>545.0</v>
      </c>
      <c r="B992" s="28" t="s">
        <v>2044</v>
      </c>
      <c r="C992" s="28">
        <v>254513.0</v>
      </c>
      <c r="D992" s="28" t="s">
        <v>2087</v>
      </c>
      <c r="E992" s="28" t="s">
        <v>2088</v>
      </c>
      <c r="F992" s="28">
        <v>2.0</v>
      </c>
      <c r="G992" s="28" t="s">
        <v>44</v>
      </c>
      <c r="H992" s="28" t="s">
        <v>57</v>
      </c>
      <c r="I992" s="28" t="s">
        <v>57</v>
      </c>
      <c r="J992" s="28"/>
      <c r="K992" s="29" t="s">
        <v>58</v>
      </c>
      <c r="L992" s="26"/>
      <c r="M992" s="25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ht="18.0" customHeight="1">
      <c r="A993" s="27">
        <v>545.0</v>
      </c>
      <c r="B993" s="28" t="s">
        <v>2044</v>
      </c>
      <c r="C993" s="28">
        <v>254514.0</v>
      </c>
      <c r="D993" s="28" t="s">
        <v>2089</v>
      </c>
      <c r="E993" s="28" t="s">
        <v>2090</v>
      </c>
      <c r="F993" s="28">
        <v>2.0</v>
      </c>
      <c r="G993" s="28" t="s">
        <v>44</v>
      </c>
      <c r="H993" s="28" t="s">
        <v>119</v>
      </c>
      <c r="I993" s="28" t="s">
        <v>53</v>
      </c>
      <c r="J993" s="28"/>
      <c r="K993" s="29" t="s">
        <v>58</v>
      </c>
      <c r="L993" s="26"/>
      <c r="M993" s="25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ht="18.0" customHeight="1">
      <c r="A994" s="27">
        <v>545.0</v>
      </c>
      <c r="B994" s="28" t="s">
        <v>2044</v>
      </c>
      <c r="C994" s="28">
        <v>254515.0</v>
      </c>
      <c r="D994" s="28" t="s">
        <v>2091</v>
      </c>
      <c r="E994" s="28" t="s">
        <v>2092</v>
      </c>
      <c r="F994" s="28">
        <v>2.0</v>
      </c>
      <c r="G994" s="28" t="s">
        <v>44</v>
      </c>
      <c r="H994" s="28" t="s">
        <v>57</v>
      </c>
      <c r="I994" s="28" t="s">
        <v>57</v>
      </c>
      <c r="J994" s="28"/>
      <c r="K994" s="29" t="s">
        <v>58</v>
      </c>
      <c r="L994" s="26"/>
      <c r="M994" s="25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ht="18.0" customHeight="1">
      <c r="A995" s="27">
        <v>545.0</v>
      </c>
      <c r="B995" s="28" t="s">
        <v>2044</v>
      </c>
      <c r="C995" s="28">
        <v>254516.0</v>
      </c>
      <c r="D995" s="28" t="s">
        <v>2093</v>
      </c>
      <c r="E995" s="28" t="s">
        <v>2094</v>
      </c>
      <c r="F995" s="28">
        <v>2.0</v>
      </c>
      <c r="G995" s="28" t="s">
        <v>44</v>
      </c>
      <c r="H995" s="28" t="s">
        <v>57</v>
      </c>
      <c r="I995" s="28" t="s">
        <v>57</v>
      </c>
      <c r="J995" s="28"/>
      <c r="K995" s="29" t="s">
        <v>58</v>
      </c>
      <c r="L995" s="26"/>
      <c r="M995" s="25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ht="18.0" customHeight="1">
      <c r="A996" s="27">
        <v>545.0</v>
      </c>
      <c r="B996" s="28" t="s">
        <v>2044</v>
      </c>
      <c r="C996" s="28">
        <v>254517.0</v>
      </c>
      <c r="D996" s="28" t="s">
        <v>2095</v>
      </c>
      <c r="E996" s="28" t="s">
        <v>2096</v>
      </c>
      <c r="F996" s="28">
        <v>2.0</v>
      </c>
      <c r="G996" s="28" t="s">
        <v>44</v>
      </c>
      <c r="H996" s="28" t="s">
        <v>57</v>
      </c>
      <c r="I996" s="28" t="s">
        <v>57</v>
      </c>
      <c r="J996" s="28"/>
      <c r="K996" s="29" t="s">
        <v>58</v>
      </c>
      <c r="L996" s="26"/>
      <c r="M996" s="25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ht="18.0" customHeight="1">
      <c r="A997" s="27">
        <v>545.0</v>
      </c>
      <c r="B997" s="28" t="s">
        <v>2044</v>
      </c>
      <c r="C997" s="28">
        <v>254518.0</v>
      </c>
      <c r="D997" s="28" t="s">
        <v>2097</v>
      </c>
      <c r="E997" s="28" t="s">
        <v>2098</v>
      </c>
      <c r="F997" s="28">
        <v>2.0</v>
      </c>
      <c r="G997" s="28" t="s">
        <v>44</v>
      </c>
      <c r="H997" s="28" t="s">
        <v>57</v>
      </c>
      <c r="I997" s="28" t="s">
        <v>57</v>
      </c>
      <c r="J997" s="28"/>
      <c r="K997" s="29" t="s">
        <v>58</v>
      </c>
      <c r="L997" s="26"/>
      <c r="M997" s="25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ht="18.0" customHeight="1">
      <c r="A998" s="27">
        <v>545.0</v>
      </c>
      <c r="B998" s="28" t="s">
        <v>2044</v>
      </c>
      <c r="C998" s="28">
        <v>254519.0</v>
      </c>
      <c r="D998" s="28" t="s">
        <v>2099</v>
      </c>
      <c r="E998" s="28" t="s">
        <v>2100</v>
      </c>
      <c r="F998" s="28">
        <v>2.0</v>
      </c>
      <c r="G998" s="28" t="s">
        <v>44</v>
      </c>
      <c r="H998" s="28" t="s">
        <v>57</v>
      </c>
      <c r="I998" s="28" t="s">
        <v>57</v>
      </c>
      <c r="J998" s="28"/>
      <c r="K998" s="29" t="s">
        <v>58</v>
      </c>
      <c r="L998" s="26"/>
      <c r="M998" s="25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ht="18.0" customHeight="1">
      <c r="A999" s="27">
        <v>545.0</v>
      </c>
      <c r="B999" s="28" t="s">
        <v>2044</v>
      </c>
      <c r="C999" s="28">
        <v>254520.0</v>
      </c>
      <c r="D999" s="28" t="s">
        <v>2101</v>
      </c>
      <c r="E999" s="28" t="s">
        <v>2102</v>
      </c>
      <c r="F999" s="28">
        <v>2.0</v>
      </c>
      <c r="G999" s="28" t="s">
        <v>44</v>
      </c>
      <c r="H999" s="28" t="s">
        <v>119</v>
      </c>
      <c r="I999" s="28" t="s">
        <v>53</v>
      </c>
      <c r="J999" s="28">
        <v>523122.0</v>
      </c>
      <c r="K999" s="29" t="s">
        <v>54</v>
      </c>
      <c r="L999" s="26"/>
      <c r="M999" s="25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ht="18.0" customHeight="1">
      <c r="A1000" s="27">
        <v>545.0</v>
      </c>
      <c r="B1000" s="28" t="s">
        <v>2044</v>
      </c>
      <c r="C1000" s="28">
        <v>154501.0</v>
      </c>
      <c r="D1000" s="28" t="s">
        <v>2103</v>
      </c>
      <c r="E1000" s="28" t="s">
        <v>2104</v>
      </c>
      <c r="F1000" s="28">
        <v>3.0</v>
      </c>
      <c r="G1000" s="28" t="s">
        <v>44</v>
      </c>
      <c r="H1000" s="28" t="s">
        <v>57</v>
      </c>
      <c r="I1000" s="28" t="s">
        <v>57</v>
      </c>
      <c r="J1000" s="28"/>
      <c r="K1000" s="29" t="s">
        <v>58</v>
      </c>
      <c r="L1000" s="26"/>
      <c r="M1000" s="25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  <row r="1001" ht="18.0" customHeight="1">
      <c r="A1001" s="27">
        <v>545.0</v>
      </c>
      <c r="B1001" s="28" t="s">
        <v>2044</v>
      </c>
      <c r="C1001" s="28">
        <v>154503.0</v>
      </c>
      <c r="D1001" s="28" t="s">
        <v>2105</v>
      </c>
      <c r="E1001" s="28" t="s">
        <v>2106</v>
      </c>
      <c r="F1001" s="28">
        <v>3.0</v>
      </c>
      <c r="G1001" s="28" t="s">
        <v>44</v>
      </c>
      <c r="H1001" s="28" t="s">
        <v>57</v>
      </c>
      <c r="I1001" s="28" t="s">
        <v>57</v>
      </c>
      <c r="J1001" s="28"/>
      <c r="K1001" s="29" t="s">
        <v>58</v>
      </c>
      <c r="L1001" s="26"/>
      <c r="M1001" s="25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</row>
    <row r="1002" ht="18.0" customHeight="1">
      <c r="A1002" s="27">
        <v>545.0</v>
      </c>
      <c r="B1002" s="28" t="s">
        <v>2044</v>
      </c>
      <c r="C1002" s="28">
        <v>154504.0</v>
      </c>
      <c r="D1002" s="28" t="s">
        <v>2107</v>
      </c>
      <c r="E1002" s="28" t="s">
        <v>2108</v>
      </c>
      <c r="F1002" s="28">
        <v>3.0</v>
      </c>
      <c r="G1002" s="28" t="s">
        <v>44</v>
      </c>
      <c r="H1002" s="28" t="s">
        <v>57</v>
      </c>
      <c r="I1002" s="28" t="s">
        <v>57</v>
      </c>
      <c r="J1002" s="28"/>
      <c r="K1002" s="29" t="s">
        <v>58</v>
      </c>
      <c r="L1002" s="26"/>
      <c r="M1002" s="25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</row>
    <row r="1003" ht="18.0" customHeight="1">
      <c r="A1003" s="27">
        <v>545.0</v>
      </c>
      <c r="B1003" s="28" t="s">
        <v>2044</v>
      </c>
      <c r="C1003" s="28">
        <v>154509.0</v>
      </c>
      <c r="D1003" s="28" t="s">
        <v>2109</v>
      </c>
      <c r="E1003" s="28" t="s">
        <v>2110</v>
      </c>
      <c r="F1003" s="28">
        <v>3.0</v>
      </c>
      <c r="G1003" s="28" t="s">
        <v>44</v>
      </c>
      <c r="H1003" s="28" t="s">
        <v>119</v>
      </c>
      <c r="I1003" s="28" t="s">
        <v>53</v>
      </c>
      <c r="J1003" s="28"/>
      <c r="K1003" s="29" t="s">
        <v>54</v>
      </c>
      <c r="L1003" s="26"/>
      <c r="M1003" s="25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</row>
    <row r="1004" ht="18.0" customHeight="1">
      <c r="A1004" s="27">
        <v>545.0</v>
      </c>
      <c r="B1004" s="28" t="s">
        <v>2044</v>
      </c>
      <c r="C1004" s="28">
        <v>154510.0</v>
      </c>
      <c r="D1004" s="28" t="s">
        <v>2111</v>
      </c>
      <c r="E1004" s="28" t="s">
        <v>2112</v>
      </c>
      <c r="F1004" s="28">
        <v>3.0</v>
      </c>
      <c r="G1004" s="28" t="s">
        <v>44</v>
      </c>
      <c r="H1004" s="28" t="s">
        <v>119</v>
      </c>
      <c r="I1004" s="28" t="s">
        <v>53</v>
      </c>
      <c r="J1004" s="28"/>
      <c r="K1004" s="29" t="s">
        <v>58</v>
      </c>
      <c r="L1004" s="26"/>
      <c r="M1004" s="25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6"/>
      <c r="Z1004" s="26"/>
    </row>
    <row r="1005" ht="18.0" customHeight="1">
      <c r="A1005" s="27">
        <v>545.0</v>
      </c>
      <c r="B1005" s="28" t="s">
        <v>2044</v>
      </c>
      <c r="C1005" s="28">
        <v>154516.0</v>
      </c>
      <c r="D1005" s="28" t="s">
        <v>2113</v>
      </c>
      <c r="E1005" s="28" t="s">
        <v>2114</v>
      </c>
      <c r="F1005" s="28">
        <v>3.0</v>
      </c>
      <c r="G1005" s="28" t="s">
        <v>44</v>
      </c>
      <c r="H1005" s="28" t="s">
        <v>57</v>
      </c>
      <c r="I1005" s="28" t="s">
        <v>57</v>
      </c>
      <c r="J1005" s="28"/>
      <c r="K1005" s="29" t="s">
        <v>58</v>
      </c>
      <c r="L1005" s="26"/>
      <c r="M1005" s="25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</row>
    <row r="1006" ht="18.0" customHeight="1">
      <c r="A1006" s="27">
        <v>545.0</v>
      </c>
      <c r="B1006" s="28" t="s">
        <v>2044</v>
      </c>
      <c r="C1006" s="28">
        <v>54501.0</v>
      </c>
      <c r="D1006" s="28" t="s">
        <v>2115</v>
      </c>
      <c r="E1006" s="28" t="s">
        <v>2116</v>
      </c>
      <c r="F1006" s="28">
        <v>4.0</v>
      </c>
      <c r="G1006" s="28" t="s">
        <v>44</v>
      </c>
      <c r="H1006" s="28" t="s">
        <v>119</v>
      </c>
      <c r="I1006" s="28" t="s">
        <v>53</v>
      </c>
      <c r="J1006" s="28">
        <v>513293.0</v>
      </c>
      <c r="K1006" s="29" t="s">
        <v>58</v>
      </c>
      <c r="L1006" s="26"/>
      <c r="M1006" s="25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/>
      <c r="Z1006" s="26"/>
    </row>
    <row r="1007" ht="18.0" customHeight="1">
      <c r="A1007" s="27">
        <v>545.0</v>
      </c>
      <c r="B1007" s="28" t="s">
        <v>2044</v>
      </c>
      <c r="C1007" s="28">
        <v>54502.0</v>
      </c>
      <c r="D1007" s="28" t="s">
        <v>2117</v>
      </c>
      <c r="E1007" s="28" t="s">
        <v>2118</v>
      </c>
      <c r="F1007" s="28">
        <v>4.0</v>
      </c>
      <c r="G1007" s="28" t="s">
        <v>44</v>
      </c>
      <c r="H1007" s="28" t="s">
        <v>57</v>
      </c>
      <c r="I1007" s="28" t="s">
        <v>57</v>
      </c>
      <c r="J1007" s="28"/>
      <c r="K1007" s="29" t="s">
        <v>58</v>
      </c>
      <c r="L1007" s="26"/>
      <c r="M1007" s="25"/>
      <c r="N1007" s="26"/>
      <c r="O1007" s="26"/>
      <c r="P1007" s="26"/>
      <c r="Q1007" s="26"/>
      <c r="R1007" s="26"/>
      <c r="S1007" s="26"/>
      <c r="T1007" s="26"/>
      <c r="U1007" s="26"/>
      <c r="V1007" s="26"/>
      <c r="W1007" s="26"/>
      <c r="X1007" s="26"/>
      <c r="Y1007" s="26"/>
      <c r="Z1007" s="26"/>
    </row>
    <row r="1008" ht="18.0" customHeight="1">
      <c r="A1008" s="27">
        <v>545.0</v>
      </c>
      <c r="B1008" s="28" t="s">
        <v>2044</v>
      </c>
      <c r="C1008" s="28">
        <v>54506.0</v>
      </c>
      <c r="D1008" s="28" t="s">
        <v>2119</v>
      </c>
      <c r="E1008" s="28" t="s">
        <v>2120</v>
      </c>
      <c r="F1008" s="28">
        <v>4.0</v>
      </c>
      <c r="G1008" s="28" t="s">
        <v>44</v>
      </c>
      <c r="H1008" s="28" t="s">
        <v>119</v>
      </c>
      <c r="I1008" s="28" t="s">
        <v>53</v>
      </c>
      <c r="J1008" s="28">
        <v>519402.0</v>
      </c>
      <c r="K1008" s="29" t="s">
        <v>58</v>
      </c>
      <c r="L1008" s="26"/>
      <c r="M1008" s="25"/>
      <c r="N1008" s="26"/>
      <c r="O1008" s="26"/>
      <c r="P1008" s="26"/>
      <c r="Q1008" s="26"/>
      <c r="R1008" s="26"/>
      <c r="S1008" s="26"/>
      <c r="T1008" s="26"/>
      <c r="U1008" s="26"/>
      <c r="V1008" s="26"/>
      <c r="W1008" s="26"/>
      <c r="X1008" s="26"/>
      <c r="Y1008" s="26"/>
      <c r="Z1008" s="26"/>
    </row>
    <row r="1009" ht="18.0" customHeight="1">
      <c r="A1009" s="27">
        <v>545.0</v>
      </c>
      <c r="B1009" s="28" t="s">
        <v>2044</v>
      </c>
      <c r="C1009" s="28">
        <v>54509.0</v>
      </c>
      <c r="D1009" s="28" t="s">
        <v>2121</v>
      </c>
      <c r="E1009" s="28" t="s">
        <v>2122</v>
      </c>
      <c r="F1009" s="28">
        <v>4.0</v>
      </c>
      <c r="G1009" s="28" t="s">
        <v>44</v>
      </c>
      <c r="H1009" s="28" t="s">
        <v>57</v>
      </c>
      <c r="I1009" s="28" t="s">
        <v>57</v>
      </c>
      <c r="J1009" s="28"/>
      <c r="K1009" s="29" t="s">
        <v>58</v>
      </c>
      <c r="L1009" s="26"/>
      <c r="M1009" s="25"/>
      <c r="N1009" s="26"/>
      <c r="O1009" s="26"/>
      <c r="P1009" s="26"/>
      <c r="Q1009" s="26"/>
      <c r="R1009" s="26"/>
      <c r="S1009" s="26"/>
      <c r="T1009" s="26"/>
      <c r="U1009" s="26"/>
      <c r="V1009" s="26"/>
      <c r="W1009" s="26"/>
      <c r="X1009" s="26"/>
      <c r="Y1009" s="26"/>
      <c r="Z1009" s="26"/>
    </row>
    <row r="1010" ht="18.0" customHeight="1">
      <c r="A1010" s="27">
        <v>549.0</v>
      </c>
      <c r="B1010" s="28" t="s">
        <v>2123</v>
      </c>
      <c r="C1010" s="28">
        <v>354901.0</v>
      </c>
      <c r="D1010" s="28" t="s">
        <v>2124</v>
      </c>
      <c r="E1010" s="28" t="s">
        <v>2125</v>
      </c>
      <c r="F1010" s="28">
        <v>1.0</v>
      </c>
      <c r="G1010" s="28" t="s">
        <v>44</v>
      </c>
      <c r="H1010" s="28" t="s">
        <v>61</v>
      </c>
      <c r="I1010" s="28" t="s">
        <v>53</v>
      </c>
      <c r="J1010" s="28">
        <v>525173.0</v>
      </c>
      <c r="K1010" s="29" t="s">
        <v>54</v>
      </c>
      <c r="L1010" s="26"/>
      <c r="M1010" s="25"/>
      <c r="N1010" s="26"/>
      <c r="O1010" s="26"/>
      <c r="P1010" s="26"/>
      <c r="Q1010" s="26"/>
      <c r="R1010" s="26"/>
      <c r="S1010" s="26"/>
      <c r="T1010" s="26"/>
      <c r="U1010" s="26"/>
      <c r="V1010" s="26"/>
      <c r="W1010" s="26"/>
      <c r="X1010" s="26"/>
      <c r="Y1010" s="26"/>
      <c r="Z1010" s="26"/>
    </row>
    <row r="1011" ht="18.0" customHeight="1">
      <c r="A1011" s="27">
        <v>549.0</v>
      </c>
      <c r="B1011" s="28" t="s">
        <v>2123</v>
      </c>
      <c r="C1011" s="28">
        <v>354902.0</v>
      </c>
      <c r="D1011" s="28" t="s">
        <v>2126</v>
      </c>
      <c r="E1011" s="28" t="s">
        <v>2127</v>
      </c>
      <c r="F1011" s="28">
        <v>2.0</v>
      </c>
      <c r="G1011" s="28" t="s">
        <v>41</v>
      </c>
      <c r="H1011" s="28" t="s">
        <v>57</v>
      </c>
      <c r="I1011" s="28" t="s">
        <v>57</v>
      </c>
      <c r="J1011" s="28"/>
      <c r="K1011" s="29" t="s">
        <v>58</v>
      </c>
      <c r="L1011" s="26"/>
      <c r="M1011" s="25"/>
      <c r="N1011" s="26"/>
      <c r="O1011" s="26"/>
      <c r="P1011" s="26"/>
      <c r="Q1011" s="26"/>
      <c r="R1011" s="26"/>
      <c r="S1011" s="26"/>
      <c r="T1011" s="26"/>
      <c r="U1011" s="26"/>
      <c r="V1011" s="26"/>
      <c r="W1011" s="26"/>
      <c r="X1011" s="26"/>
      <c r="Y1011" s="26"/>
      <c r="Z1011" s="26"/>
    </row>
    <row r="1012" ht="18.0" customHeight="1">
      <c r="A1012" s="27">
        <v>583.0</v>
      </c>
      <c r="B1012" s="28" t="s">
        <v>2128</v>
      </c>
      <c r="C1012" s="28">
        <v>358301.0</v>
      </c>
      <c r="D1012" s="28" t="s">
        <v>2129</v>
      </c>
      <c r="E1012" s="28" t="s">
        <v>2130</v>
      </c>
      <c r="F1012" s="28">
        <v>1.0</v>
      </c>
      <c r="G1012" s="28" t="s">
        <v>41</v>
      </c>
      <c r="H1012" s="28" t="s">
        <v>52</v>
      </c>
      <c r="I1012" s="28" t="s">
        <v>53</v>
      </c>
      <c r="J1012" s="28">
        <v>525161.0</v>
      </c>
      <c r="K1012" s="29" t="s">
        <v>54</v>
      </c>
      <c r="L1012" s="26"/>
      <c r="M1012" s="25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  <c r="X1012" s="26"/>
      <c r="Y1012" s="26"/>
      <c r="Z1012" s="26"/>
    </row>
    <row r="1013" ht="18.0" customHeight="1">
      <c r="A1013" s="27">
        <v>597.0</v>
      </c>
      <c r="B1013" s="28" t="s">
        <v>2131</v>
      </c>
      <c r="C1013" s="28">
        <v>259701.0</v>
      </c>
      <c r="D1013" s="28" t="s">
        <v>2132</v>
      </c>
      <c r="E1013" s="28" t="s">
        <v>2133</v>
      </c>
      <c r="F1013" s="28">
        <v>2.0</v>
      </c>
      <c r="G1013" s="28" t="s">
        <v>44</v>
      </c>
      <c r="H1013" s="28" t="s">
        <v>119</v>
      </c>
      <c r="I1013" s="28" t="s">
        <v>53</v>
      </c>
      <c r="J1013" s="28">
        <v>513291.0</v>
      </c>
      <c r="K1013" s="29" t="s">
        <v>58</v>
      </c>
      <c r="L1013" s="26"/>
      <c r="M1013" s="25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  <c r="X1013" s="26"/>
      <c r="Y1013" s="26"/>
      <c r="Z1013" s="26"/>
    </row>
    <row r="1014" ht="18.0" customHeight="1">
      <c r="A1014" s="27">
        <v>601.0</v>
      </c>
      <c r="B1014" s="28" t="s">
        <v>2134</v>
      </c>
      <c r="C1014" s="28">
        <v>360102.0</v>
      </c>
      <c r="D1014" s="28" t="s">
        <v>2135</v>
      </c>
      <c r="E1014" s="28" t="s">
        <v>2136</v>
      </c>
      <c r="F1014" s="28">
        <v>1.0</v>
      </c>
      <c r="G1014" s="28" t="s">
        <v>41</v>
      </c>
      <c r="H1014" s="28" t="s">
        <v>52</v>
      </c>
      <c r="I1014" s="28" t="s">
        <v>53</v>
      </c>
      <c r="J1014" s="28">
        <v>511175.0</v>
      </c>
      <c r="K1014" s="29" t="s">
        <v>54</v>
      </c>
      <c r="L1014" s="26"/>
      <c r="M1014" s="25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  <c r="X1014" s="26"/>
      <c r="Y1014" s="26"/>
      <c r="Z1014" s="26"/>
    </row>
    <row r="1015" ht="18.0" customHeight="1">
      <c r="A1015" s="27">
        <v>601.0</v>
      </c>
      <c r="B1015" s="28" t="s">
        <v>2134</v>
      </c>
      <c r="C1015" s="28">
        <v>260104.0</v>
      </c>
      <c r="D1015" s="28" t="s">
        <v>2137</v>
      </c>
      <c r="E1015" s="28" t="s">
        <v>2138</v>
      </c>
      <c r="F1015" s="28">
        <v>2.0</v>
      </c>
      <c r="G1015" s="28" t="s">
        <v>41</v>
      </c>
      <c r="H1015" s="28" t="s">
        <v>130</v>
      </c>
      <c r="I1015" s="28" t="s">
        <v>53</v>
      </c>
      <c r="J1015" s="28">
        <v>518372.0</v>
      </c>
      <c r="K1015" s="29" t="s">
        <v>54</v>
      </c>
      <c r="L1015" s="26"/>
      <c r="M1015" s="25"/>
      <c r="N1015" s="26"/>
      <c r="O1015" s="26"/>
      <c r="P1015" s="26"/>
      <c r="Q1015" s="26"/>
      <c r="R1015" s="26"/>
      <c r="S1015" s="26"/>
      <c r="T1015" s="26"/>
      <c r="U1015" s="26"/>
      <c r="V1015" s="26"/>
      <c r="W1015" s="26"/>
      <c r="X1015" s="26"/>
      <c r="Y1015" s="26"/>
      <c r="Z1015" s="26"/>
    </row>
    <row r="1016" ht="18.0" customHeight="1">
      <c r="A1016" s="27">
        <v>601.0</v>
      </c>
      <c r="B1016" s="28" t="s">
        <v>2134</v>
      </c>
      <c r="C1016" s="28">
        <v>260106.0</v>
      </c>
      <c r="D1016" s="28" t="s">
        <v>2139</v>
      </c>
      <c r="E1016" s="28" t="s">
        <v>2140</v>
      </c>
      <c r="F1016" s="28">
        <v>2.0</v>
      </c>
      <c r="G1016" s="28" t="s">
        <v>41</v>
      </c>
      <c r="H1016" s="28" t="s">
        <v>130</v>
      </c>
      <c r="I1016" s="28" t="s">
        <v>53</v>
      </c>
      <c r="J1016" s="28">
        <v>518373.0</v>
      </c>
      <c r="K1016" s="29" t="s">
        <v>54</v>
      </c>
      <c r="L1016" s="26"/>
      <c r="M1016" s="25"/>
      <c r="N1016" s="26"/>
      <c r="O1016" s="26"/>
      <c r="P1016" s="26"/>
      <c r="Q1016" s="26"/>
      <c r="R1016" s="26"/>
      <c r="S1016" s="26"/>
      <c r="T1016" s="26"/>
      <c r="U1016" s="26"/>
      <c r="V1016" s="26"/>
      <c r="W1016" s="26"/>
      <c r="X1016" s="26"/>
      <c r="Y1016" s="26"/>
      <c r="Z1016" s="26"/>
    </row>
    <row r="1017" ht="18.0" customHeight="1">
      <c r="A1017" s="27">
        <v>601.0</v>
      </c>
      <c r="B1017" s="28" t="s">
        <v>2134</v>
      </c>
      <c r="C1017" s="28">
        <v>160104.0</v>
      </c>
      <c r="D1017" s="28" t="s">
        <v>2141</v>
      </c>
      <c r="E1017" s="28" t="s">
        <v>2142</v>
      </c>
      <c r="F1017" s="28">
        <v>3.0</v>
      </c>
      <c r="G1017" s="28" t="s">
        <v>41</v>
      </c>
      <c r="H1017" s="28" t="s">
        <v>130</v>
      </c>
      <c r="I1017" s="28" t="s">
        <v>53</v>
      </c>
      <c r="J1017" s="28">
        <v>518374.0</v>
      </c>
      <c r="K1017" s="29" t="s">
        <v>54</v>
      </c>
      <c r="L1017" s="26"/>
      <c r="M1017" s="25"/>
      <c r="N1017" s="26"/>
      <c r="O1017" s="26"/>
      <c r="P1017" s="26"/>
      <c r="Q1017" s="26"/>
      <c r="R1017" s="26"/>
      <c r="S1017" s="26"/>
      <c r="T1017" s="26"/>
      <c r="U1017" s="26"/>
      <c r="V1017" s="26"/>
      <c r="W1017" s="26"/>
      <c r="X1017" s="26"/>
      <c r="Y1017" s="26"/>
      <c r="Z1017" s="26"/>
    </row>
    <row r="1018" ht="18.0" customHeight="1">
      <c r="A1018" s="35">
        <v>641.0</v>
      </c>
      <c r="B1018" s="36" t="s">
        <v>2143</v>
      </c>
      <c r="C1018" s="36">
        <v>364101.0</v>
      </c>
      <c r="D1018" s="36" t="s">
        <v>2144</v>
      </c>
      <c r="E1018" s="36" t="s">
        <v>2145</v>
      </c>
      <c r="F1018" s="36">
        <v>1.0</v>
      </c>
      <c r="G1018" s="36" t="s">
        <v>41</v>
      </c>
      <c r="H1018" s="36" t="s">
        <v>52</v>
      </c>
      <c r="I1018" s="36" t="s">
        <v>53</v>
      </c>
      <c r="J1018" s="36"/>
      <c r="K1018" s="37" t="s">
        <v>54</v>
      </c>
      <c r="L1018" s="26"/>
      <c r="M1018" s="25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/>
      <c r="X1018" s="26"/>
      <c r="Y1018" s="26"/>
      <c r="Z1018" s="26"/>
    </row>
  </sheetData>
  <printOptions/>
  <pageMargins bottom="0.75" footer="0.0" header="0.0" left="0.7" right="0.7" top="0.75"/>
  <pageSetup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926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6</v>
      </c>
      <c r="E4" s="7">
        <f t="shared" ref="E4:E6" si="1">C4*D4</f>
        <v>51000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4</v>
      </c>
      <c r="E5" s="7">
        <f t="shared" si="1"/>
        <v>32000</v>
      </c>
    </row>
    <row r="6" ht="19.5" customHeight="1">
      <c r="A6" s="2" t="s">
        <v>9</v>
      </c>
      <c r="B6" s="4"/>
      <c r="C6" s="7">
        <v>32700.0</v>
      </c>
      <c r="D6" s="5">
        <f>D4+D5</f>
        <v>10</v>
      </c>
      <c r="E6" s="7">
        <f t="shared" si="1"/>
        <v>327000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2</v>
      </c>
      <c r="E7" s="7">
        <f>C7*D7/6*5</f>
        <v>7500</v>
      </c>
      <c r="F7" s="47" t="s">
        <v>2327</v>
      </c>
    </row>
    <row r="8" ht="19.5" customHeight="1">
      <c r="A8" s="2" t="s">
        <v>11</v>
      </c>
      <c r="B8" s="4"/>
      <c r="C8" s="7">
        <v>500.0</v>
      </c>
      <c r="D8" s="5">
        <f>D4-COUNT(H14:H201)</f>
        <v>1</v>
      </c>
      <c r="E8" s="7">
        <f>C8*D8</f>
        <v>500</v>
      </c>
    </row>
    <row r="9" ht="19.5" customHeight="1">
      <c r="A9" s="9"/>
      <c r="B9" s="9"/>
      <c r="C9" s="9"/>
      <c r="D9" s="10" t="s">
        <v>5</v>
      </c>
      <c r="E9" s="11">
        <f>SUM(E4:E8)</f>
        <v>418000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IFERROR(__xludf.DUMMYFUNCTION("FILTER('個人別エントリー'!C2:L1018,'個人別エントリー'!B2:B1018=A1)"),331301.0)</f>
        <v>331301</v>
      </c>
      <c r="B14" s="5" t="str">
        <f>IFERROR(__xludf.DUMMYFUNCTION("""COMPUTED_VALUE"""),"岡崎　大希")</f>
        <v>岡崎　大希</v>
      </c>
      <c r="C14" s="5" t="str">
        <f>IFERROR(__xludf.DUMMYFUNCTION("""COMPUTED_VALUE"""),"おかざき　だいき")</f>
        <v>おかざき　だいき</v>
      </c>
      <c r="D14" s="5">
        <f>IFERROR(__xludf.DUMMYFUNCTION("""COMPUTED_VALUE"""),1.0)</f>
        <v>1</v>
      </c>
      <c r="E14" s="5" t="str">
        <f>IFERROR(__xludf.DUMMYFUNCTION("""COMPUTED_VALUE"""),"男")</f>
        <v>男</v>
      </c>
      <c r="F14" s="5" t="str">
        <f>IFERROR(__xludf.DUMMYFUNCTION("""COMPUTED_VALUE"""),"×欠場")</f>
        <v>×欠場</v>
      </c>
      <c r="G14" s="5" t="str">
        <f>IFERROR(__xludf.DUMMYFUNCTION("""COMPUTED_VALUE"""),"×欠場")</f>
        <v>×欠場</v>
      </c>
      <c r="H14" s="5"/>
      <c r="I14" s="5" t="str">
        <f>IFERROR(__xludf.DUMMYFUNCTION("""COMPUTED_VALUE"""),"×参加しない")</f>
        <v>×参加しない</v>
      </c>
      <c r="J14" s="5"/>
      <c r="K14" s="12">
        <f t="shared" ref="K14:K201" si="2">IF(AND(OR(F14="×欠場",F14=""),OR(G14="×欠場",G14="")),0,1)</f>
        <v>0</v>
      </c>
      <c r="M14" s="5" t="str">
        <f>IFERROR(__xludf.DUMMYFUNCTION("FILTER('リレー内容'!$C$2:$K$51,'リレー内容'!$B$2:$B$51=A1)"),"○出場")</f>
        <v>○出場</v>
      </c>
      <c r="N14" s="5" t="str">
        <f>IFERROR(__xludf.DUMMYFUNCTION("""COMPUTED_VALUE"""),"○出場")</f>
        <v>○出場</v>
      </c>
      <c r="O14" s="5">
        <f>IFERROR(__xludf.DUMMYFUNCTION("""COMPUTED_VALUE"""),0.0)</f>
        <v>0</v>
      </c>
      <c r="P14" s="5">
        <f>IFERROR(__xludf.DUMMYFUNCTION("""COMPUTED_VALUE"""),0.0)</f>
        <v>0</v>
      </c>
      <c r="Q14" s="5">
        <f>IFERROR(__xludf.DUMMYFUNCTION("""COMPUTED_VALUE"""),0.0)</f>
        <v>0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IFERROR(__xludf.DUMMYFUNCTION("""COMPUTED_VALUE"""),231302.0)</f>
        <v>231302</v>
      </c>
      <c r="B15" s="5" t="str">
        <f>IFERROR(__xludf.DUMMYFUNCTION("""COMPUTED_VALUE"""),"泉浦　旭秀")</f>
        <v>泉浦　旭秀</v>
      </c>
      <c r="C15" s="5" t="str">
        <f>IFERROR(__xludf.DUMMYFUNCTION("""COMPUTED_VALUE"""),"いずみうら　あきひで")</f>
        <v>いずみうら　あきひで</v>
      </c>
      <c r="D15" s="5">
        <f>IFERROR(__xludf.DUMMYFUNCTION("""COMPUTED_VALUE"""),2.0)</f>
        <v>2</v>
      </c>
      <c r="E15" s="5" t="str">
        <f>IFERROR(__xludf.DUMMYFUNCTION("""COMPUTED_VALUE"""),"男")</f>
        <v>男</v>
      </c>
      <c r="F15" s="5" t="str">
        <f>IFERROR(__xludf.DUMMYFUNCTION("""COMPUTED_VALUE"""),"MUA")</f>
        <v>MUA</v>
      </c>
      <c r="G15" s="5" t="str">
        <f>IFERROR(__xludf.DUMMYFUNCTION("""COMPUTED_VALUE"""),"○出場")</f>
        <v>○出場</v>
      </c>
      <c r="H15" s="5">
        <f>IFERROR(__xludf.DUMMYFUNCTION("""COMPUTED_VALUE"""),265844.0)</f>
        <v>265844</v>
      </c>
      <c r="I15" s="5" t="str">
        <f>IFERROR(__xludf.DUMMYFUNCTION("""COMPUTED_VALUE"""),"○参加する")</f>
        <v>○参加する</v>
      </c>
      <c r="J15" s="5"/>
      <c r="K15" s="12">
        <f t="shared" si="2"/>
        <v>1</v>
      </c>
    </row>
    <row r="16" ht="19.5" customHeight="1">
      <c r="A16" s="5">
        <f>IFERROR(__xludf.DUMMYFUNCTION("""COMPUTED_VALUE"""),231304.0)</f>
        <v>231304</v>
      </c>
      <c r="B16" s="5" t="str">
        <f>IFERROR(__xludf.DUMMYFUNCTION("""COMPUTED_VALUE"""),"佐野　勇仁")</f>
        <v>佐野　勇仁</v>
      </c>
      <c r="C16" s="5" t="str">
        <f>IFERROR(__xludf.DUMMYFUNCTION("""COMPUTED_VALUE"""),"さの　ゆうと")</f>
        <v>さの　ゆうと</v>
      </c>
      <c r="D16" s="5">
        <f>IFERROR(__xludf.DUMMYFUNCTION("""COMPUTED_VALUE"""),2.0)</f>
        <v>2</v>
      </c>
      <c r="E16" s="5" t="str">
        <f>IFERROR(__xludf.DUMMYFUNCTION("""COMPUTED_VALUE"""),"男")</f>
        <v>男</v>
      </c>
      <c r="F16" s="5" t="str">
        <f>IFERROR(__xludf.DUMMYFUNCTION("""COMPUTED_VALUE"""),"MUA")</f>
        <v>MUA</v>
      </c>
      <c r="G16" s="5" t="str">
        <f>IFERROR(__xludf.DUMMYFUNCTION("""COMPUTED_VALUE"""),"○出場")</f>
        <v>○出場</v>
      </c>
      <c r="H16" s="5"/>
      <c r="I16" s="5" t="str">
        <f>IFERROR(__xludf.DUMMYFUNCTION("""COMPUTED_VALUE"""),"○参加する")</f>
        <v>○参加する</v>
      </c>
      <c r="J16" s="5"/>
      <c r="K16" s="12">
        <f t="shared" si="2"/>
        <v>1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>
        <f>IFERROR(__xludf.DUMMYFUNCTION("""COMPUTED_VALUE"""),231307.0)</f>
        <v>231307</v>
      </c>
      <c r="B17" s="5" t="str">
        <f>IFERROR(__xludf.DUMMYFUNCTION("""COMPUTED_VALUE"""),"山中　聡士")</f>
        <v>山中　聡士</v>
      </c>
      <c r="C17" s="5" t="str">
        <f>IFERROR(__xludf.DUMMYFUNCTION("""COMPUTED_VALUE"""),"やまなか　さとし")</f>
        <v>やまなか　さとし</v>
      </c>
      <c r="D17" s="5">
        <f>IFERROR(__xludf.DUMMYFUNCTION("""COMPUTED_VALUE"""),2.0)</f>
        <v>2</v>
      </c>
      <c r="E17" s="5" t="str">
        <f>IFERROR(__xludf.DUMMYFUNCTION("""COMPUTED_VALUE"""),"男")</f>
        <v>男</v>
      </c>
      <c r="F17" s="5" t="str">
        <f>IFERROR(__xludf.DUMMYFUNCTION("""COMPUTED_VALUE"""),"×欠場")</f>
        <v>×欠場</v>
      </c>
      <c r="G17" s="5" t="str">
        <f>IFERROR(__xludf.DUMMYFUNCTION("""COMPUTED_VALUE"""),"×欠場")</f>
        <v>×欠場</v>
      </c>
      <c r="H17" s="5"/>
      <c r="I17" s="5" t="str">
        <f>IFERROR(__xludf.DUMMYFUNCTION("""COMPUTED_VALUE"""),"×参加しない")</f>
        <v>×参加しない</v>
      </c>
      <c r="J17" s="5"/>
      <c r="K17" s="12">
        <f t="shared" si="2"/>
        <v>0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>
        <f>IFERROR(__xludf.DUMMYFUNCTION("""COMPUTED_VALUE"""),231309.0)</f>
        <v>231309</v>
      </c>
      <c r="B18" s="5" t="str">
        <f>IFERROR(__xludf.DUMMYFUNCTION("""COMPUTED_VALUE"""),"和田　向日葵")</f>
        <v>和田　向日葵</v>
      </c>
      <c r="C18" s="5" t="str">
        <f>IFERROR(__xludf.DUMMYFUNCTION("""COMPUTED_VALUE"""),"わだ　ひまり")</f>
        <v>わだ　ひまり</v>
      </c>
      <c r="D18" s="5">
        <f>IFERROR(__xludf.DUMMYFUNCTION("""COMPUTED_VALUE"""),2.0)</f>
        <v>2</v>
      </c>
      <c r="E18" s="5" t="str">
        <f>IFERROR(__xludf.DUMMYFUNCTION("""COMPUTED_VALUE"""),"女")</f>
        <v>女</v>
      </c>
      <c r="F18" s="5" t="str">
        <f>IFERROR(__xludf.DUMMYFUNCTION("""COMPUTED_VALUE"""),"WUA")</f>
        <v>WUA</v>
      </c>
      <c r="G18" s="5" t="str">
        <f>IFERROR(__xludf.DUMMYFUNCTION("""COMPUTED_VALUE"""),"○出場")</f>
        <v>○出場</v>
      </c>
      <c r="H18" s="5">
        <f>IFERROR(__xludf.DUMMYFUNCTION("""COMPUTED_VALUE"""),261196.0)</f>
        <v>261196</v>
      </c>
      <c r="I18" s="5" t="str">
        <f>IFERROR(__xludf.DUMMYFUNCTION("""COMPUTED_VALUE"""),"○参加する")</f>
        <v>○参加する</v>
      </c>
      <c r="J18" s="5"/>
      <c r="K18" s="12">
        <f t="shared" si="2"/>
        <v>1</v>
      </c>
      <c r="M18" s="5" t="s">
        <v>27</v>
      </c>
      <c r="N18" s="2" t="s">
        <v>622</v>
      </c>
      <c r="O18" s="4"/>
      <c r="P18" s="2" t="s">
        <v>2325</v>
      </c>
      <c r="Q18" s="3"/>
      <c r="R18" s="3"/>
      <c r="S18" s="3"/>
      <c r="T18" s="3"/>
      <c r="U18" s="4"/>
    </row>
    <row r="19" ht="19.5" customHeight="1">
      <c r="A19" s="5">
        <f>IFERROR(__xludf.DUMMYFUNCTION("""COMPUTED_VALUE"""),131301.0)</f>
        <v>131301</v>
      </c>
      <c r="B19" s="5" t="str">
        <f>IFERROR(__xludf.DUMMYFUNCTION("""COMPUTED_VALUE"""),"小野　慶真")</f>
        <v>小野　慶真</v>
      </c>
      <c r="C19" s="5" t="str">
        <f>IFERROR(__xludf.DUMMYFUNCTION("""COMPUTED_VALUE"""),"おの　けいま")</f>
        <v>おの　けいま</v>
      </c>
      <c r="D19" s="5">
        <f>IFERROR(__xludf.DUMMYFUNCTION("""COMPUTED_VALUE"""),3.0)</f>
        <v>3</v>
      </c>
      <c r="E19" s="5" t="str">
        <f>IFERROR(__xludf.DUMMYFUNCTION("""COMPUTED_VALUE"""),"男")</f>
        <v>男</v>
      </c>
      <c r="F19" s="5" t="str">
        <f>IFERROR(__xludf.DUMMYFUNCTION("""COMPUTED_VALUE"""),"MUA")</f>
        <v>MUA</v>
      </c>
      <c r="G19" s="5" t="str">
        <f>IFERROR(__xludf.DUMMYFUNCTION("""COMPUTED_VALUE"""),"○出場")</f>
        <v>○出場</v>
      </c>
      <c r="H19" s="5">
        <f>IFERROR(__xludf.DUMMYFUNCTION("""COMPUTED_VALUE"""),257862.0)</f>
        <v>257862</v>
      </c>
      <c r="I19" s="5" t="str">
        <f>IFERROR(__xludf.DUMMYFUNCTION("""COMPUTED_VALUE"""),"○参加する")</f>
        <v>○参加する</v>
      </c>
      <c r="J19" s="5"/>
      <c r="K19" s="12">
        <f t="shared" si="2"/>
        <v>1</v>
      </c>
      <c r="M19" s="5" t="s">
        <v>26</v>
      </c>
      <c r="N19" s="2"/>
      <c r="O19" s="4"/>
      <c r="P19" s="2" t="s">
        <v>2328</v>
      </c>
      <c r="Q19" s="3"/>
      <c r="R19" s="3"/>
      <c r="S19" s="3"/>
      <c r="T19" s="3"/>
      <c r="U19" s="4"/>
    </row>
    <row r="20" ht="19.5" customHeight="1">
      <c r="A20" s="5">
        <f>IFERROR(__xludf.DUMMYFUNCTION("""COMPUTED_VALUE"""),131303.0)</f>
        <v>131303</v>
      </c>
      <c r="B20" s="5" t="str">
        <f>IFERROR(__xludf.DUMMYFUNCTION("""COMPUTED_VALUE"""),"河内　絵里香")</f>
        <v>河内　絵里香</v>
      </c>
      <c r="C20" s="5" t="str">
        <f>IFERROR(__xludf.DUMMYFUNCTION("""COMPUTED_VALUE"""),"かわうち　えりか")</f>
        <v>かわうち　えりか</v>
      </c>
      <c r="D20" s="5">
        <f>IFERROR(__xludf.DUMMYFUNCTION("""COMPUTED_VALUE"""),3.0)</f>
        <v>3</v>
      </c>
      <c r="E20" s="5" t="str">
        <f>IFERROR(__xludf.DUMMYFUNCTION("""COMPUTED_VALUE"""),"女")</f>
        <v>女</v>
      </c>
      <c r="F20" s="5" t="str">
        <f>IFERROR(__xludf.DUMMYFUNCTION("""COMPUTED_VALUE"""),"WUA")</f>
        <v>WUA</v>
      </c>
      <c r="G20" s="5" t="str">
        <f>IFERROR(__xludf.DUMMYFUNCTION("""COMPUTED_VALUE"""),"○出場")</f>
        <v>○出場</v>
      </c>
      <c r="H20" s="5">
        <f>IFERROR(__xludf.DUMMYFUNCTION("""COMPUTED_VALUE"""),257869.0)</f>
        <v>257869</v>
      </c>
      <c r="I20" s="5" t="str">
        <f>IFERROR(__xludf.DUMMYFUNCTION("""COMPUTED_VALUE"""),"○参加する")</f>
        <v>○参加する</v>
      </c>
      <c r="J20" s="5"/>
      <c r="K20" s="12">
        <f t="shared" si="2"/>
        <v>1</v>
      </c>
    </row>
    <row r="21" ht="19.5" customHeight="1">
      <c r="A21" s="5">
        <f>IFERROR(__xludf.DUMMYFUNCTION("""COMPUTED_VALUE"""),131305.0)</f>
        <v>131305</v>
      </c>
      <c r="B21" s="5" t="str">
        <f>IFERROR(__xludf.DUMMYFUNCTION("""COMPUTED_VALUE"""),"弓田　和生")</f>
        <v>弓田　和生</v>
      </c>
      <c r="C21" s="5" t="str">
        <f>IFERROR(__xludf.DUMMYFUNCTION("""COMPUTED_VALUE"""),"ゆみた　かずき")</f>
        <v>ゆみた　かずき</v>
      </c>
      <c r="D21" s="5">
        <f>IFERROR(__xludf.DUMMYFUNCTION("""COMPUTED_VALUE"""),3.0)</f>
        <v>3</v>
      </c>
      <c r="E21" s="5" t="str">
        <f>IFERROR(__xludf.DUMMYFUNCTION("""COMPUTED_VALUE"""),"男")</f>
        <v>男</v>
      </c>
      <c r="F21" s="5" t="str">
        <f>IFERROR(__xludf.DUMMYFUNCTION("""COMPUTED_VALUE"""),"MUA")</f>
        <v>MUA</v>
      </c>
      <c r="G21" s="5" t="str">
        <f>IFERROR(__xludf.DUMMYFUNCTION("""COMPUTED_VALUE"""),"○出場")</f>
        <v>○出場</v>
      </c>
      <c r="H21" s="5">
        <f>IFERROR(__xludf.DUMMYFUNCTION("""COMPUTED_VALUE"""),261194.0)</f>
        <v>261194</v>
      </c>
      <c r="I21" s="5" t="str">
        <f>IFERROR(__xludf.DUMMYFUNCTION("""COMPUTED_VALUE"""),"○参加する")</f>
        <v>○参加する</v>
      </c>
      <c r="J21" s="5"/>
      <c r="K21" s="12">
        <f t="shared" si="2"/>
        <v>1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12">
        <f t="shared" si="2"/>
        <v>0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2">
        <f t="shared" si="2"/>
        <v>0</v>
      </c>
      <c r="M23" s="2" t="str">
        <f>IFERROR(__xludf.DUMMYFUNCTION("FILTER('オフィシャル'!$B$2:$B$65,'オフィシャル'!$A$2:$A$65=A1)"),"小森直人")</f>
        <v>小森直人</v>
      </c>
      <c r="N23" s="4"/>
      <c r="O23" s="2" t="str">
        <f>IFERROR(__xludf.DUMMYFUNCTION("FILTER('オフィシャル'!$C$2:$C$65,'オフィシャル'!$A$2:$A$65=A1)"),"こもりなおと")</f>
        <v>こもりなおと</v>
      </c>
      <c r="P23" s="3"/>
      <c r="Q23" s="5" t="str">
        <f>IFERROR(__xludf.DUMMYFUNCTION("FILTER('オフィシャル'!$D$2:$D$65,'オフィシャル'!$A$2:$A$65=A1)"),"男")</f>
        <v>男</v>
      </c>
      <c r="R23" s="2" t="str">
        <f>IFERROR(__xludf.DUMMYFUNCTION("FILTER('オフィシャル'!$E$2:$E$65,'オフィシャル'!$A$2:$A$65=A1)"),"○する")</f>
        <v>○する</v>
      </c>
      <c r="S23" s="4"/>
      <c r="T23" s="14" t="str">
        <f>IFERROR(__xludf.DUMMYFUNCTION("FILTER('オフィシャル'!$F$2:$F$65,'オフィシャル'!$A$2:$A$65=A1)"),"")</f>
        <v/>
      </c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2">
        <f t="shared" si="2"/>
        <v>0</v>
      </c>
      <c r="M24" s="2" t="str">
        <f>IFERROR(__xludf.DUMMYFUNCTION("""COMPUTED_VALUE"""),"藤澤達也")</f>
        <v>藤澤達也</v>
      </c>
      <c r="N24" s="4"/>
      <c r="O24" s="2" t="str">
        <f>IFERROR(__xludf.DUMMYFUNCTION("""COMPUTED_VALUE"""),"ふじさわたつや")</f>
        <v>ふじさわたつや</v>
      </c>
      <c r="P24" s="3"/>
      <c r="Q24" s="5" t="str">
        <f>IFERROR(__xludf.DUMMYFUNCTION("""COMPUTED_VALUE"""),"男")</f>
        <v>男</v>
      </c>
      <c r="R24" s="2" t="str">
        <f>IFERROR(__xludf.DUMMYFUNCTION("""COMPUTED_VALUE"""),"○する")</f>
        <v>○する</v>
      </c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12">
        <f t="shared" si="2"/>
        <v>0</v>
      </c>
      <c r="M25" s="2" t="str">
        <f>IFERROR(__xludf.DUMMYFUNCTION("""COMPUTED_VALUE"""),"衣笠匠斗")</f>
        <v>衣笠匠斗</v>
      </c>
      <c r="N25" s="4"/>
      <c r="O25" s="2" t="str">
        <f>IFERROR(__xludf.DUMMYFUNCTION("""COMPUTED_VALUE"""),"きぬがさたくと")</f>
        <v>きぬがさたくと</v>
      </c>
      <c r="P25" s="3"/>
      <c r="Q25" s="19" t="str">
        <f>IFERROR(__xludf.DUMMYFUNCTION("""COMPUTED_VALUE"""),"男")</f>
        <v>男</v>
      </c>
      <c r="R25" s="2" t="str">
        <f>IFERROR(__xludf.DUMMYFUNCTION("""COMPUTED_VALUE"""),"○する")</f>
        <v>○する</v>
      </c>
      <c r="S25" s="4"/>
      <c r="T25" s="20"/>
      <c r="U25" s="15"/>
    </row>
    <row r="26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12">
        <f t="shared" si="2"/>
        <v>0</v>
      </c>
      <c r="M26" s="2" t="str">
        <f>IFERROR(__xludf.DUMMYFUNCTION("""COMPUTED_VALUE"""),"本庄祐一")</f>
        <v>本庄祐一</v>
      </c>
      <c r="N26" s="4"/>
      <c r="O26" s="2" t="str">
        <f>IFERROR(__xludf.DUMMYFUNCTION("""COMPUTED_VALUE"""),"ほんじょうゆういち")</f>
        <v>ほんじょうゆういち</v>
      </c>
      <c r="P26" s="3"/>
      <c r="Q26" s="19" t="str">
        <f>IFERROR(__xludf.DUMMYFUNCTION("""COMPUTED_VALUE"""),"男")</f>
        <v>男</v>
      </c>
      <c r="R26" s="2" t="str">
        <f>IFERROR(__xludf.DUMMYFUNCTION("""COMPUTED_VALUE"""),"○する")</f>
        <v>○する</v>
      </c>
      <c r="S26" s="4"/>
      <c r="T26" s="20"/>
      <c r="U26" s="15"/>
    </row>
    <row r="27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12">
        <f t="shared" si="2"/>
        <v>0</v>
      </c>
    </row>
    <row r="28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12">
        <f t="shared" si="2"/>
        <v>0</v>
      </c>
    </row>
    <row r="29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12">
        <f t="shared" si="2"/>
        <v>0</v>
      </c>
    </row>
    <row r="3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12">
        <f t="shared" si="2"/>
        <v>0</v>
      </c>
    </row>
    <row r="31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12">
        <f t="shared" si="2"/>
        <v>0</v>
      </c>
    </row>
    <row r="32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12">
        <f t="shared" si="2"/>
        <v>0</v>
      </c>
    </row>
    <row r="33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12">
        <f t="shared" si="2"/>
        <v>0</v>
      </c>
    </row>
    <row r="34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12">
        <f t="shared" si="2"/>
        <v>0</v>
      </c>
    </row>
    <row r="3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12">
        <f t="shared" si="2"/>
        <v>0</v>
      </c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12">
        <f t="shared" si="2"/>
        <v>0</v>
      </c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12">
        <f t="shared" si="2"/>
        <v>0</v>
      </c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12">
        <f t="shared" si="2"/>
        <v>0</v>
      </c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12">
        <f t="shared" si="2"/>
        <v>0</v>
      </c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12">
        <f t="shared" si="2"/>
        <v>0</v>
      </c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12">
        <f t="shared" si="2"/>
        <v>0</v>
      </c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12">
        <f t="shared" si="2"/>
        <v>0</v>
      </c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12">
        <f t="shared" si="2"/>
        <v>0</v>
      </c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12">
        <f t="shared" si="2"/>
        <v>0</v>
      </c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2">
        <f t="shared" si="2"/>
        <v>0</v>
      </c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2">
        <f t="shared" si="2"/>
        <v>0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943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26</v>
      </c>
      <c r="E4" s="7">
        <f t="shared" ref="E4:E8" si="1">C4*D4</f>
        <v>221000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2</v>
      </c>
      <c r="E5" s="7">
        <f t="shared" si="1"/>
        <v>16000</v>
      </c>
    </row>
    <row r="6" ht="19.5" customHeight="1">
      <c r="A6" s="2" t="s">
        <v>9</v>
      </c>
      <c r="B6" s="4"/>
      <c r="C6" s="7">
        <v>32700.0</v>
      </c>
      <c r="D6" s="5">
        <f>D4+D5</f>
        <v>28</v>
      </c>
      <c r="E6" s="7">
        <f t="shared" si="1"/>
        <v>915600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2</v>
      </c>
      <c r="E7" s="7">
        <f t="shared" si="1"/>
        <v>9000</v>
      </c>
    </row>
    <row r="8" ht="19.5" customHeight="1">
      <c r="A8" s="2" t="s">
        <v>11</v>
      </c>
      <c r="B8" s="4"/>
      <c r="C8" s="7">
        <v>500.0</v>
      </c>
      <c r="D8" s="5">
        <f>D4-COUNT(H14:H201)</f>
        <v>0</v>
      </c>
      <c r="E8" s="7">
        <f t="shared" si="1"/>
        <v>0</v>
      </c>
    </row>
    <row r="9" ht="19.5" customHeight="1">
      <c r="A9" s="9"/>
      <c r="B9" s="9"/>
      <c r="C9" s="9"/>
      <c r="D9" s="10" t="s">
        <v>5</v>
      </c>
      <c r="E9" s="11">
        <f>SUM(E4:E8)</f>
        <v>1161600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IFERROR(__xludf.DUMMYFUNCTION("FILTER('個人別エントリー'!C2:L1018,'個人別エントリー'!B2:B1018=A1)"),331501.0)</f>
        <v>331501</v>
      </c>
      <c r="B14" s="5" t="str">
        <f>IFERROR(__xludf.DUMMYFUNCTION("""COMPUTED_VALUE"""),"大場 椋太")</f>
        <v>大場 椋太</v>
      </c>
      <c r="C14" s="5" t="str">
        <f>IFERROR(__xludf.DUMMYFUNCTION("""COMPUTED_VALUE"""),"おおば りょうた")</f>
        <v>おおば りょうた</v>
      </c>
      <c r="D14" s="5">
        <f>IFERROR(__xludf.DUMMYFUNCTION("""COMPUTED_VALUE"""),1.0)</f>
        <v>1</v>
      </c>
      <c r="E14" s="5" t="str">
        <f>IFERROR(__xludf.DUMMYFUNCTION("""COMPUTED_VALUE"""),"男")</f>
        <v>男</v>
      </c>
      <c r="F14" s="5" t="str">
        <f>IFERROR(__xludf.DUMMYFUNCTION("""COMPUTED_VALUE"""),"×欠場")</f>
        <v>×欠場</v>
      </c>
      <c r="G14" s="5" t="str">
        <f>IFERROR(__xludf.DUMMYFUNCTION("""COMPUTED_VALUE"""),"×欠場")</f>
        <v>×欠場</v>
      </c>
      <c r="H14" s="5"/>
      <c r="I14" s="5" t="str">
        <f>IFERROR(__xludf.DUMMYFUNCTION("""COMPUTED_VALUE"""),"×参加しない")</f>
        <v>×参加しない</v>
      </c>
      <c r="J14" s="5"/>
      <c r="K14" s="12">
        <f t="shared" ref="K14:K201" si="2">IF(AND(OR(F14="×欠場",F14=""),OR(G14="×欠場",G14="")),0,1)</f>
        <v>0</v>
      </c>
      <c r="M14" s="5" t="str">
        <f>IFERROR(__xludf.DUMMYFUNCTION("FILTER('リレー内容'!$C$2:$K$51,'リレー内容'!$B$2:$B$51=A1)"),"○出場")</f>
        <v>○出場</v>
      </c>
      <c r="N14" s="5" t="str">
        <f>IFERROR(__xludf.DUMMYFUNCTION("""COMPUTED_VALUE"""),"○出場")</f>
        <v>○出場</v>
      </c>
      <c r="O14" s="5">
        <f>IFERROR(__xludf.DUMMYFUNCTION("""COMPUTED_VALUE"""),4.0)</f>
        <v>4</v>
      </c>
      <c r="P14" s="5">
        <f>IFERROR(__xludf.DUMMYFUNCTION("""COMPUTED_VALUE"""),1.0)</f>
        <v>1</v>
      </c>
      <c r="Q14" s="5">
        <f>IFERROR(__xludf.DUMMYFUNCTION("""COMPUTED_VALUE"""),1.0)</f>
        <v>1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IFERROR(__xludf.DUMMYFUNCTION("""COMPUTED_VALUE"""),331502.0)</f>
        <v>331502</v>
      </c>
      <c r="B15" s="5" t="str">
        <f>IFERROR(__xludf.DUMMYFUNCTION("""COMPUTED_VALUE"""),"丹羽 里歩子")</f>
        <v>丹羽 里歩子</v>
      </c>
      <c r="C15" s="5" t="str">
        <f>IFERROR(__xludf.DUMMYFUNCTION("""COMPUTED_VALUE"""),"にわ りほこ")</f>
        <v>にわ りほこ</v>
      </c>
      <c r="D15" s="5">
        <f>IFERROR(__xludf.DUMMYFUNCTION("""COMPUTED_VALUE"""),1.0)</f>
        <v>1</v>
      </c>
      <c r="E15" s="5" t="str">
        <f>IFERROR(__xludf.DUMMYFUNCTION("""COMPUTED_VALUE"""),"女")</f>
        <v>女</v>
      </c>
      <c r="F15" s="5" t="str">
        <f>IFERROR(__xludf.DUMMYFUNCTION("""COMPUTED_VALUE"""),"WUF")</f>
        <v>WUF</v>
      </c>
      <c r="G15" s="5" t="str">
        <f>IFERROR(__xludf.DUMMYFUNCTION("""COMPUTED_VALUE"""),"○出場")</f>
        <v>○出場</v>
      </c>
      <c r="H15" s="5">
        <f>IFERROR(__xludf.DUMMYFUNCTION("""COMPUTED_VALUE"""),524661.0)</f>
        <v>524661</v>
      </c>
      <c r="I15" s="5" t="str">
        <f>IFERROR(__xludf.DUMMYFUNCTION("""COMPUTED_VALUE"""),"○参加する")</f>
        <v>○参加する</v>
      </c>
      <c r="J15" s="5"/>
      <c r="K15" s="12">
        <f t="shared" si="2"/>
        <v>1</v>
      </c>
    </row>
    <row r="16" ht="19.5" customHeight="1">
      <c r="A16" s="5">
        <f>IFERROR(__xludf.DUMMYFUNCTION("""COMPUTED_VALUE"""),331503.0)</f>
        <v>331503</v>
      </c>
      <c r="B16" s="5" t="str">
        <f>IFERROR(__xludf.DUMMYFUNCTION("""COMPUTED_VALUE"""),"神保 翔麻")</f>
        <v>神保 翔麻</v>
      </c>
      <c r="C16" s="5" t="str">
        <f>IFERROR(__xludf.DUMMYFUNCTION("""COMPUTED_VALUE"""),"じんぼ しょうま")</f>
        <v>じんぼ しょうま</v>
      </c>
      <c r="D16" s="5">
        <f>IFERROR(__xludf.DUMMYFUNCTION("""COMPUTED_VALUE"""),1.0)</f>
        <v>1</v>
      </c>
      <c r="E16" s="5" t="str">
        <f>IFERROR(__xludf.DUMMYFUNCTION("""COMPUTED_VALUE"""),"男")</f>
        <v>男</v>
      </c>
      <c r="F16" s="5" t="str">
        <f>IFERROR(__xludf.DUMMYFUNCTION("""COMPUTED_VALUE"""),"MUF")</f>
        <v>MUF</v>
      </c>
      <c r="G16" s="5" t="str">
        <f>IFERROR(__xludf.DUMMYFUNCTION("""COMPUTED_VALUE"""),"○出場")</f>
        <v>○出場</v>
      </c>
      <c r="H16" s="5">
        <f>IFERROR(__xludf.DUMMYFUNCTION("""COMPUTED_VALUE"""),531144.0)</f>
        <v>531144</v>
      </c>
      <c r="I16" s="5" t="str">
        <f>IFERROR(__xludf.DUMMYFUNCTION("""COMPUTED_VALUE"""),"○参加する")</f>
        <v>○参加する</v>
      </c>
      <c r="J16" s="5"/>
      <c r="K16" s="12">
        <f t="shared" si="2"/>
        <v>1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>
        <f>IFERROR(__xludf.DUMMYFUNCTION("""COMPUTED_VALUE"""),331504.0)</f>
        <v>331504</v>
      </c>
      <c r="B17" s="5" t="str">
        <f>IFERROR(__xludf.DUMMYFUNCTION("""COMPUTED_VALUE"""),"伊藤 悠真")</f>
        <v>伊藤 悠真</v>
      </c>
      <c r="C17" s="5" t="str">
        <f>IFERROR(__xludf.DUMMYFUNCTION("""COMPUTED_VALUE"""),"いとう ゆうま")</f>
        <v>いとう ゆうま</v>
      </c>
      <c r="D17" s="5">
        <f>IFERROR(__xludf.DUMMYFUNCTION("""COMPUTED_VALUE"""),1.0)</f>
        <v>1</v>
      </c>
      <c r="E17" s="5" t="str">
        <f>IFERROR(__xludf.DUMMYFUNCTION("""COMPUTED_VALUE"""),"男")</f>
        <v>男</v>
      </c>
      <c r="F17" s="5" t="str">
        <f>IFERROR(__xludf.DUMMYFUNCTION("""COMPUTED_VALUE"""),"MUF")</f>
        <v>MUF</v>
      </c>
      <c r="G17" s="5" t="str">
        <f>IFERROR(__xludf.DUMMYFUNCTION("""COMPUTED_VALUE"""),"○出場")</f>
        <v>○出場</v>
      </c>
      <c r="H17" s="5">
        <f>IFERROR(__xludf.DUMMYFUNCTION("""COMPUTED_VALUE"""),530632.0)</f>
        <v>530632</v>
      </c>
      <c r="I17" s="5" t="str">
        <f>IFERROR(__xludf.DUMMYFUNCTION("""COMPUTED_VALUE"""),"○参加する")</f>
        <v>○参加する</v>
      </c>
      <c r="J17" s="5"/>
      <c r="K17" s="12">
        <f t="shared" si="2"/>
        <v>1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>
        <f>IFERROR(__xludf.DUMMYFUNCTION("""COMPUTED_VALUE"""),331505.0)</f>
        <v>331505</v>
      </c>
      <c r="B18" s="5" t="str">
        <f>IFERROR(__xludf.DUMMYFUNCTION("""COMPUTED_VALUE"""),"岩屋 亜海")</f>
        <v>岩屋 亜海</v>
      </c>
      <c r="C18" s="5" t="str">
        <f>IFERROR(__xludf.DUMMYFUNCTION("""COMPUTED_VALUE"""),"いわや あみ")</f>
        <v>いわや あみ</v>
      </c>
      <c r="D18" s="5">
        <f>IFERROR(__xludf.DUMMYFUNCTION("""COMPUTED_VALUE"""),1.0)</f>
        <v>1</v>
      </c>
      <c r="E18" s="5" t="str">
        <f>IFERROR(__xludf.DUMMYFUNCTION("""COMPUTED_VALUE"""),"女")</f>
        <v>女</v>
      </c>
      <c r="F18" s="5" t="str">
        <f>IFERROR(__xludf.DUMMYFUNCTION("""COMPUTED_VALUE"""),"×欠場")</f>
        <v>×欠場</v>
      </c>
      <c r="G18" s="5" t="str">
        <f>IFERROR(__xludf.DUMMYFUNCTION("""COMPUTED_VALUE"""),"×欠場")</f>
        <v>×欠場</v>
      </c>
      <c r="H18" s="5"/>
      <c r="I18" s="5" t="str">
        <f>IFERROR(__xludf.DUMMYFUNCTION("""COMPUTED_VALUE"""),"×参加しない")</f>
        <v>×参加しない</v>
      </c>
      <c r="J18" s="5"/>
      <c r="K18" s="12">
        <f t="shared" si="2"/>
        <v>0</v>
      </c>
      <c r="M18" s="5" t="s">
        <v>27</v>
      </c>
      <c r="N18" s="2" t="s">
        <v>482</v>
      </c>
      <c r="O18" s="4"/>
      <c r="P18" s="2" t="s">
        <v>2322</v>
      </c>
      <c r="Q18" s="3"/>
      <c r="R18" s="3"/>
      <c r="S18" s="3"/>
      <c r="T18" s="3"/>
      <c r="U18" s="4"/>
    </row>
    <row r="19" ht="19.5" customHeight="1">
      <c r="A19" s="5">
        <f>IFERROR(__xludf.DUMMYFUNCTION("""COMPUTED_VALUE"""),331506.0)</f>
        <v>331506</v>
      </c>
      <c r="B19" s="5" t="str">
        <f>IFERROR(__xludf.DUMMYFUNCTION("""COMPUTED_VALUE"""),"中舘 美卯")</f>
        <v>中舘 美卯</v>
      </c>
      <c r="C19" s="5" t="str">
        <f>IFERROR(__xludf.DUMMYFUNCTION("""COMPUTED_VALUE"""),"なかだて みう")</f>
        <v>なかだて みう</v>
      </c>
      <c r="D19" s="5">
        <f>IFERROR(__xludf.DUMMYFUNCTION("""COMPUTED_VALUE"""),1.0)</f>
        <v>1</v>
      </c>
      <c r="E19" s="5" t="str">
        <f>IFERROR(__xludf.DUMMYFUNCTION("""COMPUTED_VALUE"""),"女")</f>
        <v>女</v>
      </c>
      <c r="F19" s="5" t="str">
        <f>IFERROR(__xludf.DUMMYFUNCTION("""COMPUTED_VALUE"""),"WUF")</f>
        <v>WUF</v>
      </c>
      <c r="G19" s="5" t="str">
        <f>IFERROR(__xludf.DUMMYFUNCTION("""COMPUTED_VALUE"""),"○出場")</f>
        <v>○出場</v>
      </c>
      <c r="H19" s="5">
        <f>IFERROR(__xludf.DUMMYFUNCTION("""COMPUTED_VALUE"""),530635.0)</f>
        <v>530635</v>
      </c>
      <c r="I19" s="5" t="str">
        <f>IFERROR(__xludf.DUMMYFUNCTION("""COMPUTED_VALUE"""),"○参加する")</f>
        <v>○参加する</v>
      </c>
      <c r="J19" s="5"/>
      <c r="K19" s="12">
        <f t="shared" si="2"/>
        <v>1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>
        <f>IFERROR(__xludf.DUMMYFUNCTION("""COMPUTED_VALUE"""),331507.0)</f>
        <v>331507</v>
      </c>
      <c r="B20" s="5" t="str">
        <f>IFERROR(__xludf.DUMMYFUNCTION("""COMPUTED_VALUE"""),"藤本 優生")</f>
        <v>藤本 優生</v>
      </c>
      <c r="C20" s="5" t="str">
        <f>IFERROR(__xludf.DUMMYFUNCTION("""COMPUTED_VALUE"""),"ふじもと ゆうき")</f>
        <v>ふじもと ゆうき</v>
      </c>
      <c r="D20" s="5">
        <f>IFERROR(__xludf.DUMMYFUNCTION("""COMPUTED_VALUE"""),1.0)</f>
        <v>1</v>
      </c>
      <c r="E20" s="5" t="str">
        <f>IFERROR(__xludf.DUMMYFUNCTION("""COMPUTED_VALUE"""),"男")</f>
        <v>男</v>
      </c>
      <c r="F20" s="5" t="str">
        <f>IFERROR(__xludf.DUMMYFUNCTION("""COMPUTED_VALUE"""),"×欠場")</f>
        <v>×欠場</v>
      </c>
      <c r="G20" s="5" t="str">
        <f>IFERROR(__xludf.DUMMYFUNCTION("""COMPUTED_VALUE"""),"×欠場")</f>
        <v>×欠場</v>
      </c>
      <c r="H20" s="5"/>
      <c r="I20" s="5" t="str">
        <f>IFERROR(__xludf.DUMMYFUNCTION("""COMPUTED_VALUE"""),"×参加しない")</f>
        <v>×参加しない</v>
      </c>
      <c r="J20" s="5"/>
      <c r="K20" s="12">
        <f t="shared" si="2"/>
        <v>0</v>
      </c>
    </row>
    <row r="21" ht="19.5" customHeight="1">
      <c r="A21" s="5">
        <f>IFERROR(__xludf.DUMMYFUNCTION("""COMPUTED_VALUE"""),331508.0)</f>
        <v>331508</v>
      </c>
      <c r="B21" s="5" t="str">
        <f>IFERROR(__xludf.DUMMYFUNCTION("""COMPUTED_VALUE"""),"伊藤 創")</f>
        <v>伊藤 創</v>
      </c>
      <c r="C21" s="5" t="str">
        <f>IFERROR(__xludf.DUMMYFUNCTION("""COMPUTED_VALUE"""),"いとう はじめ")</f>
        <v>いとう はじめ</v>
      </c>
      <c r="D21" s="5">
        <f>IFERROR(__xludf.DUMMYFUNCTION("""COMPUTED_VALUE"""),1.0)</f>
        <v>1</v>
      </c>
      <c r="E21" s="5" t="str">
        <f>IFERROR(__xludf.DUMMYFUNCTION("""COMPUTED_VALUE"""),"男")</f>
        <v>男</v>
      </c>
      <c r="F21" s="5" t="str">
        <f>IFERROR(__xludf.DUMMYFUNCTION("""COMPUTED_VALUE"""),"×欠場")</f>
        <v>×欠場</v>
      </c>
      <c r="G21" s="5" t="str">
        <f>IFERROR(__xludf.DUMMYFUNCTION("""COMPUTED_VALUE"""),"×欠場")</f>
        <v>×欠場</v>
      </c>
      <c r="H21" s="5"/>
      <c r="I21" s="5" t="str">
        <f>IFERROR(__xludf.DUMMYFUNCTION("""COMPUTED_VALUE"""),"×参加しない")</f>
        <v>×参加しない</v>
      </c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>
        <f>IFERROR(__xludf.DUMMYFUNCTION("""COMPUTED_VALUE"""),331509.0)</f>
        <v>331509</v>
      </c>
      <c r="B22" s="5" t="str">
        <f>IFERROR(__xludf.DUMMYFUNCTION("""COMPUTED_VALUE"""),"宇野 滉真")</f>
        <v>宇野 滉真</v>
      </c>
      <c r="C22" s="5" t="str">
        <f>IFERROR(__xludf.DUMMYFUNCTION("""COMPUTED_VALUE"""),"うの こうま")</f>
        <v>うの こうま</v>
      </c>
      <c r="D22" s="5">
        <f>IFERROR(__xludf.DUMMYFUNCTION("""COMPUTED_VALUE"""),1.0)</f>
        <v>1</v>
      </c>
      <c r="E22" s="5" t="str">
        <f>IFERROR(__xludf.DUMMYFUNCTION("""COMPUTED_VALUE"""),"男")</f>
        <v>男</v>
      </c>
      <c r="F22" s="5" t="str">
        <f>IFERROR(__xludf.DUMMYFUNCTION("""COMPUTED_VALUE"""),"×欠場")</f>
        <v>×欠場</v>
      </c>
      <c r="G22" s="5" t="str">
        <f>IFERROR(__xludf.DUMMYFUNCTION("""COMPUTED_VALUE"""),"×欠場")</f>
        <v>×欠場</v>
      </c>
      <c r="H22" s="5"/>
      <c r="I22" s="5" t="str">
        <f>IFERROR(__xludf.DUMMYFUNCTION("""COMPUTED_VALUE"""),"×参加しない")</f>
        <v>×参加しない</v>
      </c>
      <c r="J22" s="5"/>
      <c r="K22" s="12">
        <f t="shared" si="2"/>
        <v>0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>
        <f>IFERROR(__xludf.DUMMYFUNCTION("""COMPUTED_VALUE"""),331510.0)</f>
        <v>331510</v>
      </c>
      <c r="B23" s="5" t="str">
        <f>IFERROR(__xludf.DUMMYFUNCTION("""COMPUTED_VALUE"""),"増田 卓也")</f>
        <v>増田 卓也</v>
      </c>
      <c r="C23" s="5" t="str">
        <f>IFERROR(__xludf.DUMMYFUNCTION("""COMPUTED_VALUE"""),"ますだ たくや")</f>
        <v>ますだ たくや</v>
      </c>
      <c r="D23" s="5">
        <f>IFERROR(__xludf.DUMMYFUNCTION("""COMPUTED_VALUE"""),1.0)</f>
        <v>1</v>
      </c>
      <c r="E23" s="5" t="str">
        <f>IFERROR(__xludf.DUMMYFUNCTION("""COMPUTED_VALUE"""),"男")</f>
        <v>男</v>
      </c>
      <c r="F23" s="5" t="str">
        <f>IFERROR(__xludf.DUMMYFUNCTION("""COMPUTED_VALUE"""),"×欠場")</f>
        <v>×欠場</v>
      </c>
      <c r="G23" s="5" t="str">
        <f>IFERROR(__xludf.DUMMYFUNCTION("""COMPUTED_VALUE"""),"×欠場")</f>
        <v>×欠場</v>
      </c>
      <c r="H23" s="5"/>
      <c r="I23" s="5" t="str">
        <f>IFERROR(__xludf.DUMMYFUNCTION("""COMPUTED_VALUE"""),"×参加しない")</f>
        <v>×参加しない</v>
      </c>
      <c r="J23" s="5"/>
      <c r="K23" s="12">
        <f t="shared" si="2"/>
        <v>0</v>
      </c>
      <c r="M23" s="2" t="str">
        <f>IFERROR(__xludf.DUMMYFUNCTION("FILTER('オフィシャル'!$B$2:$B$65,'オフィシャル'!$A$2:$A$65=A1)"),"楊泓志")</f>
        <v>楊泓志</v>
      </c>
      <c r="N23" s="4"/>
      <c r="O23" s="2" t="str">
        <f>IFERROR(__xludf.DUMMYFUNCTION("FILTER('オフィシャル'!$C$2:$C$65,'オフィシャル'!$A$2:$A$65=A1)"),"ようこうし")</f>
        <v>ようこうし</v>
      </c>
      <c r="P23" s="3"/>
      <c r="Q23" s="5" t="str">
        <f>IFERROR(__xludf.DUMMYFUNCTION("FILTER('オフィシャル'!$D$2:$D$65,'オフィシャル'!$A$2:$A$65=A1)"),"男")</f>
        <v>男</v>
      </c>
      <c r="R23" s="2" t="str">
        <f>IFERROR(__xludf.DUMMYFUNCTION("FILTER('オフィシャル'!$E$2:$E$65,'オフィシャル'!$A$2:$A$65=A1)"),"○する")</f>
        <v>○する</v>
      </c>
      <c r="S23" s="4"/>
      <c r="T23" s="14" t="str">
        <f>IFERROR(__xludf.DUMMYFUNCTION("FILTER('オフィシャル'!$F$2:$F$65,'オフィシャル'!$A$2:$A$65=A1)"),"")</f>
        <v/>
      </c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>
        <f>IFERROR(__xludf.DUMMYFUNCTION("""COMPUTED_VALUE"""),331511.0)</f>
        <v>331511</v>
      </c>
      <c r="B24" s="5" t="str">
        <f>IFERROR(__xludf.DUMMYFUNCTION("""COMPUTED_VALUE"""),"木名瀬 慎平")</f>
        <v>木名瀬 慎平</v>
      </c>
      <c r="C24" s="5" t="str">
        <f>IFERROR(__xludf.DUMMYFUNCTION("""COMPUTED_VALUE"""),"きなせ しんぺい")</f>
        <v>きなせ しんぺい</v>
      </c>
      <c r="D24" s="5">
        <f>IFERROR(__xludf.DUMMYFUNCTION("""COMPUTED_VALUE"""),1.0)</f>
        <v>1</v>
      </c>
      <c r="E24" s="5" t="str">
        <f>IFERROR(__xludf.DUMMYFUNCTION("""COMPUTED_VALUE"""),"男")</f>
        <v>男</v>
      </c>
      <c r="F24" s="5" t="str">
        <f>IFERROR(__xludf.DUMMYFUNCTION("""COMPUTED_VALUE"""),"×欠場")</f>
        <v>×欠場</v>
      </c>
      <c r="G24" s="5" t="str">
        <f>IFERROR(__xludf.DUMMYFUNCTION("""COMPUTED_VALUE"""),"×欠場")</f>
        <v>×欠場</v>
      </c>
      <c r="H24" s="5"/>
      <c r="I24" s="5" t="str">
        <f>IFERROR(__xludf.DUMMYFUNCTION("""COMPUTED_VALUE"""),"×参加しない")</f>
        <v>×参加しない</v>
      </c>
      <c r="J24" s="5"/>
      <c r="K24" s="12">
        <f t="shared" si="2"/>
        <v>0</v>
      </c>
      <c r="M24" s="2" t="str">
        <f>IFERROR(__xludf.DUMMYFUNCTION("""COMPUTED_VALUE"""),"羽田拓真")</f>
        <v>羽田拓真</v>
      </c>
      <c r="N24" s="4"/>
      <c r="O24" s="2" t="str">
        <f>IFERROR(__xludf.DUMMYFUNCTION("""COMPUTED_VALUE"""),"はだたくま")</f>
        <v>はだたくま</v>
      </c>
      <c r="P24" s="3"/>
      <c r="Q24" s="5" t="str">
        <f>IFERROR(__xludf.DUMMYFUNCTION("""COMPUTED_VALUE"""),"男")</f>
        <v>男</v>
      </c>
      <c r="R24" s="2" t="str">
        <f>IFERROR(__xludf.DUMMYFUNCTION("""COMPUTED_VALUE"""),"○する")</f>
        <v>○する</v>
      </c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>
        <f>IFERROR(__xludf.DUMMYFUNCTION("""COMPUTED_VALUE"""),331512.0)</f>
        <v>331512</v>
      </c>
      <c r="B25" s="5" t="str">
        <f>IFERROR(__xludf.DUMMYFUNCTION("""COMPUTED_VALUE"""),"脇田 知怜")</f>
        <v>脇田 知怜</v>
      </c>
      <c r="C25" s="5" t="str">
        <f>IFERROR(__xludf.DUMMYFUNCTION("""COMPUTED_VALUE"""),"わきた ちさと")</f>
        <v>わきた ちさと</v>
      </c>
      <c r="D25" s="5">
        <f>IFERROR(__xludf.DUMMYFUNCTION("""COMPUTED_VALUE"""),1.0)</f>
        <v>1</v>
      </c>
      <c r="E25" s="5" t="str">
        <f>IFERROR(__xludf.DUMMYFUNCTION("""COMPUTED_VALUE"""),"男")</f>
        <v>男</v>
      </c>
      <c r="F25" s="5" t="str">
        <f>IFERROR(__xludf.DUMMYFUNCTION("""COMPUTED_VALUE"""),"MUF")</f>
        <v>MUF</v>
      </c>
      <c r="G25" s="5" t="str">
        <f>IFERROR(__xludf.DUMMYFUNCTION("""COMPUTED_VALUE"""),"○出場")</f>
        <v>○出場</v>
      </c>
      <c r="H25" s="5">
        <f>IFERROR(__xludf.DUMMYFUNCTION("""COMPUTED_VALUE"""),530649.0)</f>
        <v>530649</v>
      </c>
      <c r="I25" s="5" t="str">
        <f>IFERROR(__xludf.DUMMYFUNCTION("""COMPUTED_VALUE"""),"○参加する")</f>
        <v>○参加する</v>
      </c>
      <c r="J25" s="5"/>
      <c r="K25" s="12">
        <f t="shared" si="2"/>
        <v>1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>
        <f>IFERROR(__xludf.DUMMYFUNCTION("""COMPUTED_VALUE"""),331513.0)</f>
        <v>331513</v>
      </c>
      <c r="B26" s="5" t="str">
        <f>IFERROR(__xludf.DUMMYFUNCTION("""COMPUTED_VALUE"""),"今中 雄磨")</f>
        <v>今中 雄磨</v>
      </c>
      <c r="C26" s="5" t="str">
        <f>IFERROR(__xludf.DUMMYFUNCTION("""COMPUTED_VALUE"""),"いまなか ゆうま")</f>
        <v>いまなか ゆうま</v>
      </c>
      <c r="D26" s="5">
        <f>IFERROR(__xludf.DUMMYFUNCTION("""COMPUTED_VALUE"""),1.0)</f>
        <v>1</v>
      </c>
      <c r="E26" s="5" t="str">
        <f>IFERROR(__xludf.DUMMYFUNCTION("""COMPUTED_VALUE"""),"男")</f>
        <v>男</v>
      </c>
      <c r="F26" s="5" t="str">
        <f>IFERROR(__xludf.DUMMYFUNCTION("""COMPUTED_VALUE"""),"MUF")</f>
        <v>MUF</v>
      </c>
      <c r="G26" s="5" t="str">
        <f>IFERROR(__xludf.DUMMYFUNCTION("""COMPUTED_VALUE"""),"○出場")</f>
        <v>○出場</v>
      </c>
      <c r="H26" s="5">
        <f>IFERROR(__xludf.DUMMYFUNCTION("""COMPUTED_VALUE"""),531137.0)</f>
        <v>531137</v>
      </c>
      <c r="I26" s="5" t="str">
        <f>IFERROR(__xludf.DUMMYFUNCTION("""COMPUTED_VALUE"""),"○参加する")</f>
        <v>○参加する</v>
      </c>
      <c r="J26" s="5"/>
      <c r="K26" s="12">
        <f t="shared" si="2"/>
        <v>1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>
        <f>IFERROR(__xludf.DUMMYFUNCTION("""COMPUTED_VALUE"""),331514.0)</f>
        <v>331514</v>
      </c>
      <c r="B27" s="5" t="str">
        <f>IFERROR(__xludf.DUMMYFUNCTION("""COMPUTED_VALUE"""),"工藤 優太")</f>
        <v>工藤 優太</v>
      </c>
      <c r="C27" s="5" t="str">
        <f>IFERROR(__xludf.DUMMYFUNCTION("""COMPUTED_VALUE"""),"くどう ゆうた")</f>
        <v>くどう ゆうた</v>
      </c>
      <c r="D27" s="5">
        <f>IFERROR(__xludf.DUMMYFUNCTION("""COMPUTED_VALUE"""),1.0)</f>
        <v>1</v>
      </c>
      <c r="E27" s="5" t="str">
        <f>IFERROR(__xludf.DUMMYFUNCTION("""COMPUTED_VALUE"""),"男")</f>
        <v>男</v>
      </c>
      <c r="F27" s="5" t="str">
        <f>IFERROR(__xludf.DUMMYFUNCTION("""COMPUTED_VALUE"""),"×欠場")</f>
        <v>×欠場</v>
      </c>
      <c r="G27" s="5" t="str">
        <f>IFERROR(__xludf.DUMMYFUNCTION("""COMPUTED_VALUE"""),"×欠場")</f>
        <v>×欠場</v>
      </c>
      <c r="H27" s="5"/>
      <c r="I27" s="5" t="str">
        <f>IFERROR(__xludf.DUMMYFUNCTION("""COMPUTED_VALUE"""),"×参加しない")</f>
        <v>×参加しない</v>
      </c>
      <c r="J27" s="5"/>
      <c r="K27" s="12">
        <f t="shared" si="2"/>
        <v>0</v>
      </c>
    </row>
    <row r="28" ht="19.5" customHeight="1">
      <c r="A28" s="5">
        <f>IFERROR(__xludf.DUMMYFUNCTION("""COMPUTED_VALUE"""),331515.0)</f>
        <v>331515</v>
      </c>
      <c r="B28" s="5" t="str">
        <f>IFERROR(__xludf.DUMMYFUNCTION("""COMPUTED_VALUE"""),"望月 大輔")</f>
        <v>望月 大輔</v>
      </c>
      <c r="C28" s="5" t="str">
        <f>IFERROR(__xludf.DUMMYFUNCTION("""COMPUTED_VALUE"""),"もちづき だいすけ")</f>
        <v>もちづき だいすけ</v>
      </c>
      <c r="D28" s="5">
        <f>IFERROR(__xludf.DUMMYFUNCTION("""COMPUTED_VALUE"""),1.0)</f>
        <v>1</v>
      </c>
      <c r="E28" s="5" t="str">
        <f>IFERROR(__xludf.DUMMYFUNCTION("""COMPUTED_VALUE"""),"男")</f>
        <v>男</v>
      </c>
      <c r="F28" s="5" t="str">
        <f>IFERROR(__xludf.DUMMYFUNCTION("""COMPUTED_VALUE"""),"×欠場")</f>
        <v>×欠場</v>
      </c>
      <c r="G28" s="5" t="str">
        <f>IFERROR(__xludf.DUMMYFUNCTION("""COMPUTED_VALUE"""),"×欠場")</f>
        <v>×欠場</v>
      </c>
      <c r="H28" s="5"/>
      <c r="I28" s="5" t="str">
        <f>IFERROR(__xludf.DUMMYFUNCTION("""COMPUTED_VALUE"""),"×参加しない")</f>
        <v>×参加しない</v>
      </c>
      <c r="J28" s="5"/>
      <c r="K28" s="12">
        <f t="shared" si="2"/>
        <v>0</v>
      </c>
    </row>
    <row r="29" ht="19.5" customHeight="1">
      <c r="A29" s="5">
        <f>IFERROR(__xludf.DUMMYFUNCTION("""COMPUTED_VALUE"""),331516.0)</f>
        <v>331516</v>
      </c>
      <c r="B29" s="5" t="str">
        <f>IFERROR(__xludf.DUMMYFUNCTION("""COMPUTED_VALUE"""),"新倉 啓太")</f>
        <v>新倉 啓太</v>
      </c>
      <c r="C29" s="5" t="str">
        <f>IFERROR(__xludf.DUMMYFUNCTION("""COMPUTED_VALUE"""),"にいくら けいた")</f>
        <v>にいくら けいた</v>
      </c>
      <c r="D29" s="5">
        <f>IFERROR(__xludf.DUMMYFUNCTION("""COMPUTED_VALUE"""),1.0)</f>
        <v>1</v>
      </c>
      <c r="E29" s="5" t="str">
        <f>IFERROR(__xludf.DUMMYFUNCTION("""COMPUTED_VALUE"""),"男")</f>
        <v>男</v>
      </c>
      <c r="F29" s="5" t="str">
        <f>IFERROR(__xludf.DUMMYFUNCTION("""COMPUTED_VALUE"""),"×欠場")</f>
        <v>×欠場</v>
      </c>
      <c r="G29" s="5" t="str">
        <f>IFERROR(__xludf.DUMMYFUNCTION("""COMPUTED_VALUE"""),"×欠場")</f>
        <v>×欠場</v>
      </c>
      <c r="H29" s="5"/>
      <c r="I29" s="5" t="str">
        <f>IFERROR(__xludf.DUMMYFUNCTION("""COMPUTED_VALUE"""),"×参加しない")</f>
        <v>×参加しない</v>
      </c>
      <c r="J29" s="5"/>
      <c r="K29" s="12">
        <f t="shared" si="2"/>
        <v>0</v>
      </c>
    </row>
    <row r="30" ht="19.5" customHeight="1">
      <c r="A30" s="5">
        <f>IFERROR(__xludf.DUMMYFUNCTION("""COMPUTED_VALUE"""),331517.0)</f>
        <v>331517</v>
      </c>
      <c r="B30" s="5" t="str">
        <f>IFERROR(__xludf.DUMMYFUNCTION("""COMPUTED_VALUE"""),"山田 和輝")</f>
        <v>山田 和輝</v>
      </c>
      <c r="C30" s="5" t="str">
        <f>IFERROR(__xludf.DUMMYFUNCTION("""COMPUTED_VALUE"""),"やまだ かずき")</f>
        <v>やまだ かずき</v>
      </c>
      <c r="D30" s="5">
        <f>IFERROR(__xludf.DUMMYFUNCTION("""COMPUTED_VALUE"""),1.0)</f>
        <v>1</v>
      </c>
      <c r="E30" s="5" t="str">
        <f>IFERROR(__xludf.DUMMYFUNCTION("""COMPUTED_VALUE"""),"男")</f>
        <v>男</v>
      </c>
      <c r="F30" s="5" t="str">
        <f>IFERROR(__xludf.DUMMYFUNCTION("""COMPUTED_VALUE"""),"MUF")</f>
        <v>MUF</v>
      </c>
      <c r="G30" s="5" t="str">
        <f>IFERROR(__xludf.DUMMYFUNCTION("""COMPUTED_VALUE"""),"○出場")</f>
        <v>○出場</v>
      </c>
      <c r="H30" s="5">
        <f>IFERROR(__xludf.DUMMYFUNCTION("""COMPUTED_VALUE"""),524662.0)</f>
        <v>524662</v>
      </c>
      <c r="I30" s="5" t="str">
        <f>IFERROR(__xludf.DUMMYFUNCTION("""COMPUTED_VALUE"""),"○参加する")</f>
        <v>○参加する</v>
      </c>
      <c r="J30" s="5"/>
      <c r="K30" s="12">
        <f t="shared" si="2"/>
        <v>1</v>
      </c>
    </row>
    <row r="31" ht="19.5" customHeight="1">
      <c r="A31" s="5">
        <f>IFERROR(__xludf.DUMMYFUNCTION("""COMPUTED_VALUE"""),331518.0)</f>
        <v>331518</v>
      </c>
      <c r="B31" s="5" t="str">
        <f>IFERROR(__xludf.DUMMYFUNCTION("""COMPUTED_VALUE"""),"中村 稔平")</f>
        <v>中村 稔平</v>
      </c>
      <c r="C31" s="5" t="str">
        <f>IFERROR(__xludf.DUMMYFUNCTION("""COMPUTED_VALUE"""),"なかむら じんぺい")</f>
        <v>なかむら じんぺい</v>
      </c>
      <c r="D31" s="5">
        <f>IFERROR(__xludf.DUMMYFUNCTION("""COMPUTED_VALUE"""),1.0)</f>
        <v>1</v>
      </c>
      <c r="E31" s="5" t="str">
        <f>IFERROR(__xludf.DUMMYFUNCTION("""COMPUTED_VALUE"""),"男")</f>
        <v>男</v>
      </c>
      <c r="F31" s="5" t="str">
        <f>IFERROR(__xludf.DUMMYFUNCTION("""COMPUTED_VALUE"""),"MUF")</f>
        <v>MUF</v>
      </c>
      <c r="G31" s="5" t="str">
        <f>IFERROR(__xludf.DUMMYFUNCTION("""COMPUTED_VALUE"""),"○出場")</f>
        <v>○出場</v>
      </c>
      <c r="H31" s="5">
        <f>IFERROR(__xludf.DUMMYFUNCTION("""COMPUTED_VALUE"""),530648.0)</f>
        <v>530648</v>
      </c>
      <c r="I31" s="5" t="str">
        <f>IFERROR(__xludf.DUMMYFUNCTION("""COMPUTED_VALUE"""),"○参加する")</f>
        <v>○参加する</v>
      </c>
      <c r="J31" s="5"/>
      <c r="K31" s="12">
        <f t="shared" si="2"/>
        <v>1</v>
      </c>
    </row>
    <row r="32" ht="19.5" customHeight="1">
      <c r="A32" s="5">
        <f>IFERROR(__xludf.DUMMYFUNCTION("""COMPUTED_VALUE"""),331519.0)</f>
        <v>331519</v>
      </c>
      <c r="B32" s="5" t="str">
        <f>IFERROR(__xludf.DUMMYFUNCTION("""COMPUTED_VALUE"""),"菅野 新太朗")</f>
        <v>菅野 新太朗</v>
      </c>
      <c r="C32" s="5" t="str">
        <f>IFERROR(__xludf.DUMMYFUNCTION("""COMPUTED_VALUE"""),"かんの しんたろう")</f>
        <v>かんの しんたろう</v>
      </c>
      <c r="D32" s="5">
        <f>IFERROR(__xludf.DUMMYFUNCTION("""COMPUTED_VALUE"""),1.0)</f>
        <v>1</v>
      </c>
      <c r="E32" s="5" t="str">
        <f>IFERROR(__xludf.DUMMYFUNCTION("""COMPUTED_VALUE"""),"男")</f>
        <v>男</v>
      </c>
      <c r="F32" s="5" t="str">
        <f>IFERROR(__xludf.DUMMYFUNCTION("""COMPUTED_VALUE"""),"×欠場")</f>
        <v>×欠場</v>
      </c>
      <c r="G32" s="5" t="str">
        <f>IFERROR(__xludf.DUMMYFUNCTION("""COMPUTED_VALUE"""),"×欠場")</f>
        <v>×欠場</v>
      </c>
      <c r="H32" s="5"/>
      <c r="I32" s="5" t="str">
        <f>IFERROR(__xludf.DUMMYFUNCTION("""COMPUTED_VALUE"""),"×参加しない")</f>
        <v>×参加しない</v>
      </c>
      <c r="J32" s="5"/>
      <c r="K32" s="12">
        <f t="shared" si="2"/>
        <v>0</v>
      </c>
    </row>
    <row r="33" ht="19.5" customHeight="1">
      <c r="A33" s="5">
        <f>IFERROR(__xludf.DUMMYFUNCTION("""COMPUTED_VALUE"""),331520.0)</f>
        <v>331520</v>
      </c>
      <c r="B33" s="5" t="str">
        <f>IFERROR(__xludf.DUMMYFUNCTION("""COMPUTED_VALUE"""),"峰 龍太郎")</f>
        <v>峰 龍太郎</v>
      </c>
      <c r="C33" s="5" t="str">
        <f>IFERROR(__xludf.DUMMYFUNCTION("""COMPUTED_VALUE"""),"みね りゅうたろう")</f>
        <v>みね りゅうたろう</v>
      </c>
      <c r="D33" s="5">
        <f>IFERROR(__xludf.DUMMYFUNCTION("""COMPUTED_VALUE"""),1.0)</f>
        <v>1</v>
      </c>
      <c r="E33" s="5" t="str">
        <f>IFERROR(__xludf.DUMMYFUNCTION("""COMPUTED_VALUE"""),"男")</f>
        <v>男</v>
      </c>
      <c r="F33" s="5" t="str">
        <f>IFERROR(__xludf.DUMMYFUNCTION("""COMPUTED_VALUE"""),"×欠場")</f>
        <v>×欠場</v>
      </c>
      <c r="G33" s="5" t="str">
        <f>IFERROR(__xludf.DUMMYFUNCTION("""COMPUTED_VALUE"""),"×欠場")</f>
        <v>×欠場</v>
      </c>
      <c r="H33" s="5"/>
      <c r="I33" s="5" t="str">
        <f>IFERROR(__xludf.DUMMYFUNCTION("""COMPUTED_VALUE"""),"×参加しない")</f>
        <v>×参加しない</v>
      </c>
      <c r="J33" s="5"/>
      <c r="K33" s="12">
        <f t="shared" si="2"/>
        <v>0</v>
      </c>
    </row>
    <row r="34" ht="19.5" customHeight="1">
      <c r="A34" s="5">
        <f>IFERROR(__xludf.DUMMYFUNCTION("""COMPUTED_VALUE"""),331521.0)</f>
        <v>331521</v>
      </c>
      <c r="B34" s="5" t="str">
        <f>IFERROR(__xludf.DUMMYFUNCTION("""COMPUTED_VALUE"""),"大山 勇太")</f>
        <v>大山 勇太</v>
      </c>
      <c r="C34" s="5" t="str">
        <f>IFERROR(__xludf.DUMMYFUNCTION("""COMPUTED_VALUE"""),"おおやま ゆうた")</f>
        <v>おおやま ゆうた</v>
      </c>
      <c r="D34" s="5">
        <f>IFERROR(__xludf.DUMMYFUNCTION("""COMPUTED_VALUE"""),1.0)</f>
        <v>1</v>
      </c>
      <c r="E34" s="5" t="str">
        <f>IFERROR(__xludf.DUMMYFUNCTION("""COMPUTED_VALUE"""),"男")</f>
        <v>男</v>
      </c>
      <c r="F34" s="5" t="str">
        <f>IFERROR(__xludf.DUMMYFUNCTION("""COMPUTED_VALUE"""),"×欠場")</f>
        <v>×欠場</v>
      </c>
      <c r="G34" s="5" t="str">
        <f>IFERROR(__xludf.DUMMYFUNCTION("""COMPUTED_VALUE"""),"×欠場")</f>
        <v>×欠場</v>
      </c>
      <c r="H34" s="5"/>
      <c r="I34" s="5" t="str">
        <f>IFERROR(__xludf.DUMMYFUNCTION("""COMPUTED_VALUE"""),"×参加しない")</f>
        <v>×参加しない</v>
      </c>
      <c r="J34" s="5"/>
      <c r="K34" s="12">
        <f t="shared" si="2"/>
        <v>0</v>
      </c>
    </row>
    <row r="35" ht="19.5" customHeight="1">
      <c r="A35" s="5">
        <f>IFERROR(__xludf.DUMMYFUNCTION("""COMPUTED_VALUE"""),231501.0)</f>
        <v>231501</v>
      </c>
      <c r="B35" s="5" t="str">
        <f>IFERROR(__xludf.DUMMYFUNCTION("""COMPUTED_VALUE"""),"森 創之介")</f>
        <v>森 創之介</v>
      </c>
      <c r="C35" s="5" t="str">
        <f>IFERROR(__xludf.DUMMYFUNCTION("""COMPUTED_VALUE"""),"もり そうのすけ")</f>
        <v>もり そうのすけ</v>
      </c>
      <c r="D35" s="5">
        <f>IFERROR(__xludf.DUMMYFUNCTION("""COMPUTED_VALUE"""),2.0)</f>
        <v>2</v>
      </c>
      <c r="E35" s="5" t="str">
        <f>IFERROR(__xludf.DUMMYFUNCTION("""COMPUTED_VALUE"""),"男")</f>
        <v>男</v>
      </c>
      <c r="F35" s="5" t="str">
        <f>IFERROR(__xludf.DUMMYFUNCTION("""COMPUTED_VALUE"""),"MUA")</f>
        <v>MUA</v>
      </c>
      <c r="G35" s="5" t="str">
        <f>IFERROR(__xludf.DUMMYFUNCTION("""COMPUTED_VALUE"""),"○出場")</f>
        <v>○出場</v>
      </c>
      <c r="H35" s="5">
        <f>IFERROR(__xludf.DUMMYFUNCTION("""COMPUTED_VALUE"""),524943.0)</f>
        <v>524943</v>
      </c>
      <c r="I35" s="5" t="str">
        <f>IFERROR(__xludf.DUMMYFUNCTION("""COMPUTED_VALUE"""),"○参加する")</f>
        <v>○参加する</v>
      </c>
      <c r="J35" s="5"/>
      <c r="K35" s="12">
        <f t="shared" si="2"/>
        <v>1</v>
      </c>
    </row>
    <row r="36" ht="19.5" customHeight="1">
      <c r="A36" s="5">
        <f>IFERROR(__xludf.DUMMYFUNCTION("""COMPUTED_VALUE"""),231502.0)</f>
        <v>231502</v>
      </c>
      <c r="B36" s="5" t="str">
        <f>IFERROR(__xludf.DUMMYFUNCTION("""COMPUTED_VALUE"""),"長谷川　敬祐")</f>
        <v>長谷川　敬祐</v>
      </c>
      <c r="C36" s="5" t="str">
        <f>IFERROR(__xludf.DUMMYFUNCTION("""COMPUTED_VALUE"""),"はせがわ　けいすけ")</f>
        <v>はせがわ　けいすけ</v>
      </c>
      <c r="D36" s="5">
        <f>IFERROR(__xludf.DUMMYFUNCTION("""COMPUTED_VALUE"""),2.0)</f>
        <v>2</v>
      </c>
      <c r="E36" s="5" t="str">
        <f>IFERROR(__xludf.DUMMYFUNCTION("""COMPUTED_VALUE"""),"男")</f>
        <v>男</v>
      </c>
      <c r="F36" s="5" t="str">
        <f>IFERROR(__xludf.DUMMYFUNCTION("""COMPUTED_VALUE"""),"MUA")</f>
        <v>MUA</v>
      </c>
      <c r="G36" s="5" t="str">
        <f>IFERROR(__xludf.DUMMYFUNCTION("""COMPUTED_VALUE"""),"○出場")</f>
        <v>○出場</v>
      </c>
      <c r="H36" s="5">
        <f>IFERROR(__xludf.DUMMYFUNCTION("""COMPUTED_VALUE"""),524950.0)</f>
        <v>524950</v>
      </c>
      <c r="I36" s="5" t="str">
        <f>IFERROR(__xludf.DUMMYFUNCTION("""COMPUTED_VALUE"""),"○参加する")</f>
        <v>○参加する</v>
      </c>
      <c r="J36" s="5"/>
      <c r="K36" s="12">
        <f t="shared" si="2"/>
        <v>1</v>
      </c>
    </row>
    <row r="37" ht="19.5" customHeight="1">
      <c r="A37" s="5">
        <f>IFERROR(__xludf.DUMMYFUNCTION("""COMPUTED_VALUE"""),231503.0)</f>
        <v>231503</v>
      </c>
      <c r="B37" s="5" t="str">
        <f>IFERROR(__xludf.DUMMYFUNCTION("""COMPUTED_VALUE"""),"秋山 拓臣")</f>
        <v>秋山 拓臣</v>
      </c>
      <c r="C37" s="5" t="str">
        <f>IFERROR(__xludf.DUMMYFUNCTION("""COMPUTED_VALUE"""),"あきやま　たくみ")</f>
        <v>あきやま　たくみ</v>
      </c>
      <c r="D37" s="5">
        <f>IFERROR(__xludf.DUMMYFUNCTION("""COMPUTED_VALUE"""),2.0)</f>
        <v>2</v>
      </c>
      <c r="E37" s="5" t="str">
        <f>IFERROR(__xludf.DUMMYFUNCTION("""COMPUTED_VALUE"""),"男")</f>
        <v>男</v>
      </c>
      <c r="F37" s="5" t="str">
        <f>IFERROR(__xludf.DUMMYFUNCTION("""COMPUTED_VALUE"""),"×欠場")</f>
        <v>×欠場</v>
      </c>
      <c r="G37" s="5" t="str">
        <f>IFERROR(__xludf.DUMMYFUNCTION("""COMPUTED_VALUE"""),"×欠場")</f>
        <v>×欠場</v>
      </c>
      <c r="H37" s="5"/>
      <c r="I37" s="5" t="str">
        <f>IFERROR(__xludf.DUMMYFUNCTION("""COMPUTED_VALUE"""),"×参加しない")</f>
        <v>×参加しない</v>
      </c>
      <c r="J37" s="5"/>
      <c r="K37" s="12">
        <f t="shared" si="2"/>
        <v>0</v>
      </c>
    </row>
    <row r="38" ht="19.5" customHeight="1">
      <c r="A38" s="5">
        <f>IFERROR(__xludf.DUMMYFUNCTION("""COMPUTED_VALUE"""),231504.0)</f>
        <v>231504</v>
      </c>
      <c r="B38" s="5" t="str">
        <f>IFERROR(__xludf.DUMMYFUNCTION("""COMPUTED_VALUE"""),"奈良崎 有香")</f>
        <v>奈良崎 有香</v>
      </c>
      <c r="C38" s="5" t="str">
        <f>IFERROR(__xludf.DUMMYFUNCTION("""COMPUTED_VALUE"""),"ならざき　ゆうか")</f>
        <v>ならざき　ゆうか</v>
      </c>
      <c r="D38" s="5">
        <f>IFERROR(__xludf.DUMMYFUNCTION("""COMPUTED_VALUE"""),2.0)</f>
        <v>2</v>
      </c>
      <c r="E38" s="5" t="str">
        <f>IFERROR(__xludf.DUMMYFUNCTION("""COMPUTED_VALUE"""),"女")</f>
        <v>女</v>
      </c>
      <c r="F38" s="5" t="str">
        <f>IFERROR(__xludf.DUMMYFUNCTION("""COMPUTED_VALUE"""),"WUA")</f>
        <v>WUA</v>
      </c>
      <c r="G38" s="5" t="str">
        <f>IFERROR(__xludf.DUMMYFUNCTION("""COMPUTED_VALUE"""),"○出場")</f>
        <v>○出場</v>
      </c>
      <c r="H38" s="5">
        <f>IFERROR(__xludf.DUMMYFUNCTION("""COMPUTED_VALUE"""),524948.0)</f>
        <v>524948</v>
      </c>
      <c r="I38" s="5" t="str">
        <f>IFERROR(__xludf.DUMMYFUNCTION("""COMPUTED_VALUE"""),"○参加する")</f>
        <v>○参加する</v>
      </c>
      <c r="J38" s="5"/>
      <c r="K38" s="12">
        <f t="shared" si="2"/>
        <v>1</v>
      </c>
    </row>
    <row r="39" ht="19.5" customHeight="1">
      <c r="A39" s="5">
        <f>IFERROR(__xludf.DUMMYFUNCTION("""COMPUTED_VALUE"""),231505.0)</f>
        <v>231505</v>
      </c>
      <c r="B39" s="5" t="str">
        <f>IFERROR(__xludf.DUMMYFUNCTION("""COMPUTED_VALUE"""),"松浦 旦陽")</f>
        <v>松浦 旦陽</v>
      </c>
      <c r="C39" s="5" t="str">
        <f>IFERROR(__xludf.DUMMYFUNCTION("""COMPUTED_VALUE"""),"まつうら あさひ")</f>
        <v>まつうら あさひ</v>
      </c>
      <c r="D39" s="5">
        <f>IFERROR(__xludf.DUMMYFUNCTION("""COMPUTED_VALUE"""),2.0)</f>
        <v>2</v>
      </c>
      <c r="E39" s="5" t="str">
        <f>IFERROR(__xludf.DUMMYFUNCTION("""COMPUTED_VALUE"""),"男")</f>
        <v>男</v>
      </c>
      <c r="F39" s="5" t="str">
        <f>IFERROR(__xludf.DUMMYFUNCTION("""COMPUTED_VALUE"""),"MUA")</f>
        <v>MUA</v>
      </c>
      <c r="G39" s="5" t="str">
        <f>IFERROR(__xludf.DUMMYFUNCTION("""COMPUTED_VALUE"""),"○出場")</f>
        <v>○出場</v>
      </c>
      <c r="H39" s="5">
        <f>IFERROR(__xludf.DUMMYFUNCTION("""COMPUTED_VALUE"""),524942.0)</f>
        <v>524942</v>
      </c>
      <c r="I39" s="5" t="str">
        <f>IFERROR(__xludf.DUMMYFUNCTION("""COMPUTED_VALUE"""),"○参加する")</f>
        <v>○参加する</v>
      </c>
      <c r="J39" s="5"/>
      <c r="K39" s="12">
        <f t="shared" si="2"/>
        <v>1</v>
      </c>
    </row>
    <row r="40" ht="19.5" customHeight="1">
      <c r="A40" s="5">
        <f>IFERROR(__xludf.DUMMYFUNCTION("""COMPUTED_VALUE"""),231506.0)</f>
        <v>231506</v>
      </c>
      <c r="B40" s="5" t="str">
        <f>IFERROR(__xludf.DUMMYFUNCTION("""COMPUTED_VALUE"""),"高橋 奈々香")</f>
        <v>高橋 奈々香</v>
      </c>
      <c r="C40" s="5" t="str">
        <f>IFERROR(__xludf.DUMMYFUNCTION("""COMPUTED_VALUE"""),"たかはし ななか")</f>
        <v>たかはし ななか</v>
      </c>
      <c r="D40" s="5">
        <f>IFERROR(__xludf.DUMMYFUNCTION("""COMPUTED_VALUE"""),2.0)</f>
        <v>2</v>
      </c>
      <c r="E40" s="5" t="str">
        <f>IFERROR(__xludf.DUMMYFUNCTION("""COMPUTED_VALUE"""),"女")</f>
        <v>女</v>
      </c>
      <c r="F40" s="5" t="str">
        <f>IFERROR(__xludf.DUMMYFUNCTION("""COMPUTED_VALUE"""),"WUA")</f>
        <v>WUA</v>
      </c>
      <c r="G40" s="5" t="str">
        <f>IFERROR(__xludf.DUMMYFUNCTION("""COMPUTED_VALUE"""),"○出場")</f>
        <v>○出場</v>
      </c>
      <c r="H40" s="5">
        <f>IFERROR(__xludf.DUMMYFUNCTION("""COMPUTED_VALUE"""),524944.0)</f>
        <v>524944</v>
      </c>
      <c r="I40" s="5" t="str">
        <f>IFERROR(__xludf.DUMMYFUNCTION("""COMPUTED_VALUE"""),"○参加する")</f>
        <v>○参加する</v>
      </c>
      <c r="J40" s="5"/>
      <c r="K40" s="12">
        <f t="shared" si="2"/>
        <v>1</v>
      </c>
    </row>
    <row r="41" ht="19.5" customHeight="1">
      <c r="A41" s="5">
        <f>IFERROR(__xludf.DUMMYFUNCTION("""COMPUTED_VALUE"""),231507.0)</f>
        <v>231507</v>
      </c>
      <c r="B41" s="5" t="str">
        <f>IFERROR(__xludf.DUMMYFUNCTION("""COMPUTED_VALUE"""),"高野 真人")</f>
        <v>高野 真人</v>
      </c>
      <c r="C41" s="5" t="str">
        <f>IFERROR(__xludf.DUMMYFUNCTION("""COMPUTED_VALUE"""),"たかの まさと")</f>
        <v>たかの まさと</v>
      </c>
      <c r="D41" s="5">
        <f>IFERROR(__xludf.DUMMYFUNCTION("""COMPUTED_VALUE"""),2.0)</f>
        <v>2</v>
      </c>
      <c r="E41" s="5" t="str">
        <f>IFERROR(__xludf.DUMMYFUNCTION("""COMPUTED_VALUE"""),"男")</f>
        <v>男</v>
      </c>
      <c r="F41" s="5" t="str">
        <f>IFERROR(__xludf.DUMMYFUNCTION("""COMPUTED_VALUE"""),"MUA")</f>
        <v>MUA</v>
      </c>
      <c r="G41" s="5" t="str">
        <f>IFERROR(__xludf.DUMMYFUNCTION("""COMPUTED_VALUE"""),"○出場")</f>
        <v>○出場</v>
      </c>
      <c r="H41" s="5">
        <f>IFERROR(__xludf.DUMMYFUNCTION("""COMPUTED_VALUE"""),524941.0)</f>
        <v>524941</v>
      </c>
      <c r="I41" s="5" t="str">
        <f>IFERROR(__xludf.DUMMYFUNCTION("""COMPUTED_VALUE"""),"○参加する")</f>
        <v>○参加する</v>
      </c>
      <c r="J41" s="5"/>
      <c r="K41" s="12">
        <f t="shared" si="2"/>
        <v>1</v>
      </c>
    </row>
    <row r="42" ht="19.5" customHeight="1">
      <c r="A42" s="5">
        <f>IFERROR(__xludf.DUMMYFUNCTION("""COMPUTED_VALUE"""),231508.0)</f>
        <v>231508</v>
      </c>
      <c r="B42" s="5" t="str">
        <f>IFERROR(__xludf.DUMMYFUNCTION("""COMPUTED_VALUE"""),"古吟 健晟")</f>
        <v>古吟 健晟</v>
      </c>
      <c r="C42" s="5" t="str">
        <f>IFERROR(__xludf.DUMMYFUNCTION("""COMPUTED_VALUE"""),"こぎん けんせい")</f>
        <v>こぎん けんせい</v>
      </c>
      <c r="D42" s="5">
        <f>IFERROR(__xludf.DUMMYFUNCTION("""COMPUTED_VALUE"""),2.0)</f>
        <v>2</v>
      </c>
      <c r="E42" s="5" t="str">
        <f>IFERROR(__xludf.DUMMYFUNCTION("""COMPUTED_VALUE"""),"男")</f>
        <v>男</v>
      </c>
      <c r="F42" s="5" t="str">
        <f>IFERROR(__xludf.DUMMYFUNCTION("""COMPUTED_VALUE"""),"MUA")</f>
        <v>MUA</v>
      </c>
      <c r="G42" s="5" t="str">
        <f>IFERROR(__xludf.DUMMYFUNCTION("""COMPUTED_VALUE"""),"○出場")</f>
        <v>○出場</v>
      </c>
      <c r="H42" s="5">
        <f>IFERROR(__xludf.DUMMYFUNCTION("""COMPUTED_VALUE"""),524952.0)</f>
        <v>524952</v>
      </c>
      <c r="I42" s="5" t="str">
        <f>IFERROR(__xludf.DUMMYFUNCTION("""COMPUTED_VALUE"""),"○参加する")</f>
        <v>○参加する</v>
      </c>
      <c r="J42" s="5"/>
      <c r="K42" s="12">
        <f t="shared" si="2"/>
        <v>1</v>
      </c>
    </row>
    <row r="43" ht="19.5" customHeight="1">
      <c r="A43" s="5">
        <f>IFERROR(__xludf.DUMMYFUNCTION("""COMPUTED_VALUE"""),231509.0)</f>
        <v>231509</v>
      </c>
      <c r="B43" s="5" t="str">
        <f>IFERROR(__xludf.DUMMYFUNCTION("""COMPUTED_VALUE"""),"関　草太")</f>
        <v>関　草太</v>
      </c>
      <c r="C43" s="5" t="str">
        <f>IFERROR(__xludf.DUMMYFUNCTION("""COMPUTED_VALUE"""),"せき　そうた")</f>
        <v>せき　そうた</v>
      </c>
      <c r="D43" s="5">
        <f>IFERROR(__xludf.DUMMYFUNCTION("""COMPUTED_VALUE"""),2.0)</f>
        <v>2</v>
      </c>
      <c r="E43" s="5" t="str">
        <f>IFERROR(__xludf.DUMMYFUNCTION("""COMPUTED_VALUE"""),"男")</f>
        <v>男</v>
      </c>
      <c r="F43" s="5" t="str">
        <f>IFERROR(__xludf.DUMMYFUNCTION("""COMPUTED_VALUE"""),"×欠場")</f>
        <v>×欠場</v>
      </c>
      <c r="G43" s="5" t="str">
        <f>IFERROR(__xludf.DUMMYFUNCTION("""COMPUTED_VALUE"""),"×欠場")</f>
        <v>×欠場</v>
      </c>
      <c r="H43" s="5"/>
      <c r="I43" s="5" t="str">
        <f>IFERROR(__xludf.DUMMYFUNCTION("""COMPUTED_VALUE"""),"×参加しない")</f>
        <v>×参加しない</v>
      </c>
      <c r="J43" s="5"/>
      <c r="K43" s="12">
        <f t="shared" si="2"/>
        <v>0</v>
      </c>
    </row>
    <row r="44" ht="19.5" customHeight="1">
      <c r="A44" s="5">
        <f>IFERROR(__xludf.DUMMYFUNCTION("""COMPUTED_VALUE"""),231511.0)</f>
        <v>231511</v>
      </c>
      <c r="B44" s="5" t="str">
        <f>IFERROR(__xludf.DUMMYFUNCTION("""COMPUTED_VALUE"""),"熊谷 周")</f>
        <v>熊谷 周</v>
      </c>
      <c r="C44" s="5" t="str">
        <f>IFERROR(__xludf.DUMMYFUNCTION("""COMPUTED_VALUE"""),"くまがい あまね")</f>
        <v>くまがい あまね</v>
      </c>
      <c r="D44" s="5">
        <f>IFERROR(__xludf.DUMMYFUNCTION("""COMPUTED_VALUE"""),2.0)</f>
        <v>2</v>
      </c>
      <c r="E44" s="5" t="str">
        <f>IFERROR(__xludf.DUMMYFUNCTION("""COMPUTED_VALUE"""),"男")</f>
        <v>男</v>
      </c>
      <c r="F44" s="5" t="str">
        <f>IFERROR(__xludf.DUMMYFUNCTION("""COMPUTED_VALUE"""),"MUA")</f>
        <v>MUA</v>
      </c>
      <c r="G44" s="5" t="str">
        <f>IFERROR(__xludf.DUMMYFUNCTION("""COMPUTED_VALUE"""),"○出場")</f>
        <v>○出場</v>
      </c>
      <c r="H44" s="5">
        <f>IFERROR(__xludf.DUMMYFUNCTION("""COMPUTED_VALUE"""),524956.0)</f>
        <v>524956</v>
      </c>
      <c r="I44" s="5" t="str">
        <f>IFERROR(__xludf.DUMMYFUNCTION("""COMPUTED_VALUE"""),"○参加する")</f>
        <v>○参加する</v>
      </c>
      <c r="J44" s="5"/>
      <c r="K44" s="12">
        <f t="shared" si="2"/>
        <v>1</v>
      </c>
    </row>
    <row r="45" ht="19.5" customHeight="1">
      <c r="A45" s="5">
        <f>IFERROR(__xludf.DUMMYFUNCTION("""COMPUTED_VALUE"""),231512.0)</f>
        <v>231512</v>
      </c>
      <c r="B45" s="5" t="str">
        <f>IFERROR(__xludf.DUMMYFUNCTION("""COMPUTED_VALUE"""),"稲岡　航聖")</f>
        <v>稲岡　航聖</v>
      </c>
      <c r="C45" s="5" t="str">
        <f>IFERROR(__xludf.DUMMYFUNCTION("""COMPUTED_VALUE"""),"いなおか　こうせい")</f>
        <v>いなおか　こうせい</v>
      </c>
      <c r="D45" s="5">
        <f>IFERROR(__xludf.DUMMYFUNCTION("""COMPUTED_VALUE"""),2.0)</f>
        <v>2</v>
      </c>
      <c r="E45" s="5" t="str">
        <f>IFERROR(__xludf.DUMMYFUNCTION("""COMPUTED_VALUE"""),"男")</f>
        <v>男</v>
      </c>
      <c r="F45" s="5" t="str">
        <f>IFERROR(__xludf.DUMMYFUNCTION("""COMPUTED_VALUE"""),"×欠場")</f>
        <v>×欠場</v>
      </c>
      <c r="G45" s="5" t="str">
        <f>IFERROR(__xludf.DUMMYFUNCTION("""COMPUTED_VALUE"""),"×欠場")</f>
        <v>×欠場</v>
      </c>
      <c r="H45" s="5"/>
      <c r="I45" s="5" t="str">
        <f>IFERROR(__xludf.DUMMYFUNCTION("""COMPUTED_VALUE"""),"×参加しない")</f>
        <v>×参加しない</v>
      </c>
      <c r="J45" s="5"/>
      <c r="K45" s="12">
        <f t="shared" si="2"/>
        <v>0</v>
      </c>
    </row>
    <row r="46" ht="19.5" customHeight="1">
      <c r="A46" s="5">
        <f>IFERROR(__xludf.DUMMYFUNCTION("""COMPUTED_VALUE"""),231515.0)</f>
        <v>231515</v>
      </c>
      <c r="B46" s="5" t="str">
        <f>IFERROR(__xludf.DUMMYFUNCTION("""COMPUTED_VALUE"""),"奥田 一喜")</f>
        <v>奥田 一喜</v>
      </c>
      <c r="C46" s="5" t="str">
        <f>IFERROR(__xludf.DUMMYFUNCTION("""COMPUTED_VALUE"""),"おくだ かずき")</f>
        <v>おくだ かずき</v>
      </c>
      <c r="D46" s="5">
        <f>IFERROR(__xludf.DUMMYFUNCTION("""COMPUTED_VALUE"""),2.0)</f>
        <v>2</v>
      </c>
      <c r="E46" s="5" t="str">
        <f>IFERROR(__xludf.DUMMYFUNCTION("""COMPUTED_VALUE"""),"男")</f>
        <v>男</v>
      </c>
      <c r="F46" s="5" t="str">
        <f>IFERROR(__xludf.DUMMYFUNCTION("""COMPUTED_VALUE"""),"MUA")</f>
        <v>MUA</v>
      </c>
      <c r="G46" s="5" t="str">
        <f>IFERROR(__xludf.DUMMYFUNCTION("""COMPUTED_VALUE"""),"○出場")</f>
        <v>○出場</v>
      </c>
      <c r="H46" s="5">
        <f>IFERROR(__xludf.DUMMYFUNCTION("""COMPUTED_VALUE"""),528630.0)</f>
        <v>528630</v>
      </c>
      <c r="I46" s="5" t="str">
        <f>IFERROR(__xludf.DUMMYFUNCTION("""COMPUTED_VALUE"""),"○参加する")</f>
        <v>○参加する</v>
      </c>
      <c r="J46" s="5"/>
      <c r="K46" s="12">
        <f t="shared" si="2"/>
        <v>1</v>
      </c>
    </row>
    <row r="47" ht="19.5" customHeight="1">
      <c r="A47" s="5">
        <f>IFERROR(__xludf.DUMMYFUNCTION("""COMPUTED_VALUE"""),131501.0)</f>
        <v>131501</v>
      </c>
      <c r="B47" s="5" t="str">
        <f>IFERROR(__xludf.DUMMYFUNCTION("""COMPUTED_VALUE"""),"上妻 慶太")</f>
        <v>上妻 慶太</v>
      </c>
      <c r="C47" s="5" t="str">
        <f>IFERROR(__xludf.DUMMYFUNCTION("""COMPUTED_VALUE"""),"こうづま けいた")</f>
        <v>こうづま けいた</v>
      </c>
      <c r="D47" s="5">
        <f>IFERROR(__xludf.DUMMYFUNCTION("""COMPUTED_VALUE"""),3.0)</f>
        <v>3</v>
      </c>
      <c r="E47" s="5" t="str">
        <f>IFERROR(__xludf.DUMMYFUNCTION("""COMPUTED_VALUE"""),"男")</f>
        <v>男</v>
      </c>
      <c r="F47" s="5" t="str">
        <f>IFERROR(__xludf.DUMMYFUNCTION("""COMPUTED_VALUE"""),"MUA")</f>
        <v>MUA</v>
      </c>
      <c r="G47" s="5" t="str">
        <f>IFERROR(__xludf.DUMMYFUNCTION("""COMPUTED_VALUE"""),"○出場")</f>
        <v>○出場</v>
      </c>
      <c r="H47" s="5">
        <f>IFERROR(__xludf.DUMMYFUNCTION("""COMPUTED_VALUE"""),519384.0)</f>
        <v>519384</v>
      </c>
      <c r="I47" s="5" t="str">
        <f>IFERROR(__xludf.DUMMYFUNCTION("""COMPUTED_VALUE"""),"○参加する")</f>
        <v>○参加する</v>
      </c>
      <c r="J47" s="5"/>
      <c r="K47" s="12">
        <f t="shared" si="2"/>
        <v>1</v>
      </c>
    </row>
    <row r="48" ht="19.5" customHeight="1">
      <c r="A48" s="5">
        <f>IFERROR(__xludf.DUMMYFUNCTION("""COMPUTED_VALUE"""),131502.0)</f>
        <v>131502</v>
      </c>
      <c r="B48" s="5" t="str">
        <f>IFERROR(__xludf.DUMMYFUNCTION("""COMPUTED_VALUE"""),"井崎 竜之介")</f>
        <v>井崎 竜之介</v>
      </c>
      <c r="C48" s="5" t="str">
        <f>IFERROR(__xludf.DUMMYFUNCTION("""COMPUTED_VALUE"""),"いざき りゅうのすけ")</f>
        <v>いざき りゅうのすけ</v>
      </c>
      <c r="D48" s="5">
        <f>IFERROR(__xludf.DUMMYFUNCTION("""COMPUTED_VALUE"""),3.0)</f>
        <v>3</v>
      </c>
      <c r="E48" s="5" t="str">
        <f>IFERROR(__xludf.DUMMYFUNCTION("""COMPUTED_VALUE"""),"男")</f>
        <v>男</v>
      </c>
      <c r="F48" s="5" t="str">
        <f>IFERROR(__xludf.DUMMYFUNCTION("""COMPUTED_VALUE"""),"MUA")</f>
        <v>MUA</v>
      </c>
      <c r="G48" s="5" t="str">
        <f>IFERROR(__xludf.DUMMYFUNCTION("""COMPUTED_VALUE"""),"○出場")</f>
        <v>○出場</v>
      </c>
      <c r="H48" s="5">
        <f>IFERROR(__xludf.DUMMYFUNCTION("""COMPUTED_VALUE"""),519390.0)</f>
        <v>519390</v>
      </c>
      <c r="I48" s="5" t="str">
        <f>IFERROR(__xludf.DUMMYFUNCTION("""COMPUTED_VALUE"""),"○参加する")</f>
        <v>○参加する</v>
      </c>
      <c r="J48" s="5"/>
      <c r="K48" s="12">
        <f t="shared" si="2"/>
        <v>1</v>
      </c>
    </row>
    <row r="49" ht="19.5" customHeight="1">
      <c r="A49" s="5">
        <f>IFERROR(__xludf.DUMMYFUNCTION("""COMPUTED_VALUE"""),131503.0)</f>
        <v>131503</v>
      </c>
      <c r="B49" s="5" t="str">
        <f>IFERROR(__xludf.DUMMYFUNCTION("""COMPUTED_VALUE"""),"平澤 葵")</f>
        <v>平澤 葵</v>
      </c>
      <c r="C49" s="5" t="str">
        <f>IFERROR(__xludf.DUMMYFUNCTION("""COMPUTED_VALUE"""),"ひらさわ あおい")</f>
        <v>ひらさわ あおい</v>
      </c>
      <c r="D49" s="5">
        <f>IFERROR(__xludf.DUMMYFUNCTION("""COMPUTED_VALUE"""),3.0)</f>
        <v>3</v>
      </c>
      <c r="E49" s="5" t="str">
        <f>IFERROR(__xludf.DUMMYFUNCTION("""COMPUTED_VALUE"""),"女")</f>
        <v>女</v>
      </c>
      <c r="F49" s="5" t="str">
        <f>IFERROR(__xludf.DUMMYFUNCTION("""COMPUTED_VALUE"""),"WUA")</f>
        <v>WUA</v>
      </c>
      <c r="G49" s="5" t="str">
        <f>IFERROR(__xludf.DUMMYFUNCTION("""COMPUTED_VALUE"""),"○出場")</f>
        <v>○出場</v>
      </c>
      <c r="H49" s="5">
        <f>IFERROR(__xludf.DUMMYFUNCTION("""COMPUTED_VALUE"""),519387.0)</f>
        <v>519387</v>
      </c>
      <c r="I49" s="5" t="str">
        <f>IFERROR(__xludf.DUMMYFUNCTION("""COMPUTED_VALUE"""),"○参加する")</f>
        <v>○参加する</v>
      </c>
      <c r="J49" s="5"/>
      <c r="K49" s="12">
        <f t="shared" si="2"/>
        <v>1</v>
      </c>
    </row>
    <row r="50" ht="19.5" customHeight="1">
      <c r="A50" s="5">
        <f>IFERROR(__xludf.DUMMYFUNCTION("""COMPUTED_VALUE"""),131505.0)</f>
        <v>131505</v>
      </c>
      <c r="B50" s="5" t="str">
        <f>IFERROR(__xludf.DUMMYFUNCTION("""COMPUTED_VALUE"""),"金道 志野")</f>
        <v>金道 志野</v>
      </c>
      <c r="C50" s="5" t="str">
        <f>IFERROR(__xludf.DUMMYFUNCTION("""COMPUTED_VALUE"""),"きんどう ゆきの")</f>
        <v>きんどう ゆきの</v>
      </c>
      <c r="D50" s="5">
        <f>IFERROR(__xludf.DUMMYFUNCTION("""COMPUTED_VALUE"""),3.0)</f>
        <v>3</v>
      </c>
      <c r="E50" s="5" t="str">
        <f>IFERROR(__xludf.DUMMYFUNCTION("""COMPUTED_VALUE"""),"女")</f>
        <v>女</v>
      </c>
      <c r="F50" s="5" t="str">
        <f>IFERROR(__xludf.DUMMYFUNCTION("""COMPUTED_VALUE"""),"WUA")</f>
        <v>WUA</v>
      </c>
      <c r="G50" s="5" t="str">
        <f>IFERROR(__xludf.DUMMYFUNCTION("""COMPUTED_VALUE"""),"○出場")</f>
        <v>○出場</v>
      </c>
      <c r="H50" s="5">
        <f>IFERROR(__xludf.DUMMYFUNCTION("""COMPUTED_VALUE"""),524939.0)</f>
        <v>524939</v>
      </c>
      <c r="I50" s="5" t="str">
        <f>IFERROR(__xludf.DUMMYFUNCTION("""COMPUTED_VALUE"""),"○参加する")</f>
        <v>○参加する</v>
      </c>
      <c r="J50" s="5"/>
      <c r="K50" s="12">
        <f t="shared" si="2"/>
        <v>1</v>
      </c>
    </row>
    <row r="51" ht="19.5" customHeight="1">
      <c r="A51" s="5">
        <f>IFERROR(__xludf.DUMMYFUNCTION("""COMPUTED_VALUE"""),131509.0)</f>
        <v>131509</v>
      </c>
      <c r="B51" s="5" t="str">
        <f>IFERROR(__xludf.DUMMYFUNCTION("""COMPUTED_VALUE"""),"桑原 唯歩")</f>
        <v>桑原 唯歩</v>
      </c>
      <c r="C51" s="5" t="str">
        <f>IFERROR(__xludf.DUMMYFUNCTION("""COMPUTED_VALUE"""),"くわはら ゆいほ")</f>
        <v>くわはら ゆいほ</v>
      </c>
      <c r="D51" s="5">
        <f>IFERROR(__xludf.DUMMYFUNCTION("""COMPUTED_VALUE"""),3.0)</f>
        <v>3</v>
      </c>
      <c r="E51" s="5" t="str">
        <f>IFERROR(__xludf.DUMMYFUNCTION("""COMPUTED_VALUE"""),"女")</f>
        <v>女</v>
      </c>
      <c r="F51" s="5" t="str">
        <f>IFERROR(__xludf.DUMMYFUNCTION("""COMPUTED_VALUE"""),"WUA")</f>
        <v>WUA</v>
      </c>
      <c r="G51" s="5" t="str">
        <f>IFERROR(__xludf.DUMMYFUNCTION("""COMPUTED_VALUE"""),"○出場")</f>
        <v>○出場</v>
      </c>
      <c r="H51" s="5">
        <f>IFERROR(__xludf.DUMMYFUNCTION("""COMPUTED_VALUE"""),519391.0)</f>
        <v>519391</v>
      </c>
      <c r="I51" s="5" t="str">
        <f>IFERROR(__xludf.DUMMYFUNCTION("""COMPUTED_VALUE"""),"○参加する")</f>
        <v>○参加する</v>
      </c>
      <c r="J51" s="5"/>
      <c r="K51" s="12">
        <f t="shared" si="2"/>
        <v>1</v>
      </c>
    </row>
    <row r="52" ht="19.5" customHeight="1">
      <c r="A52" s="5">
        <f>IFERROR(__xludf.DUMMYFUNCTION("""COMPUTED_VALUE"""),131511.0)</f>
        <v>131511</v>
      </c>
      <c r="B52" s="5" t="str">
        <f>IFERROR(__xludf.DUMMYFUNCTION("""COMPUTED_VALUE"""),"東 翔希")</f>
        <v>東 翔希</v>
      </c>
      <c r="C52" s="5" t="str">
        <f>IFERROR(__xludf.DUMMYFUNCTION("""COMPUTED_VALUE"""),"ひがし しょうき")</f>
        <v>ひがし しょうき</v>
      </c>
      <c r="D52" s="5">
        <f>IFERROR(__xludf.DUMMYFUNCTION("""COMPUTED_VALUE"""),3.0)</f>
        <v>3</v>
      </c>
      <c r="E52" s="5" t="str">
        <f>IFERROR(__xludf.DUMMYFUNCTION("""COMPUTED_VALUE"""),"男")</f>
        <v>男</v>
      </c>
      <c r="F52" s="5" t="str">
        <f>IFERROR(__xludf.DUMMYFUNCTION("""COMPUTED_VALUE"""),"×欠場")</f>
        <v>×欠場</v>
      </c>
      <c r="G52" s="5" t="str">
        <f>IFERROR(__xludf.DUMMYFUNCTION("""COMPUTED_VALUE"""),"×欠場")</f>
        <v>×欠場</v>
      </c>
      <c r="H52" s="5"/>
      <c r="I52" s="5" t="str">
        <f>IFERROR(__xludf.DUMMYFUNCTION("""COMPUTED_VALUE"""),"×参加しない")</f>
        <v>×参加しない</v>
      </c>
      <c r="J52" s="5"/>
      <c r="K52" s="12">
        <f t="shared" si="2"/>
        <v>0</v>
      </c>
    </row>
    <row r="53" ht="19.5" customHeight="1">
      <c r="A53" s="5">
        <f>IFERROR(__xludf.DUMMYFUNCTION("""COMPUTED_VALUE"""),131515.0)</f>
        <v>131515</v>
      </c>
      <c r="B53" s="5" t="str">
        <f>IFERROR(__xludf.DUMMYFUNCTION("""COMPUTED_VALUE"""),"千葉 奨太朗")</f>
        <v>千葉 奨太朗</v>
      </c>
      <c r="C53" s="5" t="str">
        <f>IFERROR(__xludf.DUMMYFUNCTION("""COMPUTED_VALUE"""),"ちば しょうたろう")</f>
        <v>ちば しょうたろう</v>
      </c>
      <c r="D53" s="5">
        <f>IFERROR(__xludf.DUMMYFUNCTION("""COMPUTED_VALUE"""),3.0)</f>
        <v>3</v>
      </c>
      <c r="E53" s="5" t="str">
        <f>IFERROR(__xludf.DUMMYFUNCTION("""COMPUTED_VALUE"""),"男")</f>
        <v>男</v>
      </c>
      <c r="F53" s="5" t="str">
        <f>IFERROR(__xludf.DUMMYFUNCTION("""COMPUTED_VALUE"""),"MUA")</f>
        <v>MUA</v>
      </c>
      <c r="G53" s="5" t="str">
        <f>IFERROR(__xludf.DUMMYFUNCTION("""COMPUTED_VALUE"""),"○出場")</f>
        <v>○出場</v>
      </c>
      <c r="H53" s="5">
        <f>IFERROR(__xludf.DUMMYFUNCTION("""COMPUTED_VALUE"""),519385.0)</f>
        <v>519385</v>
      </c>
      <c r="I53" s="5" t="str">
        <f>IFERROR(__xludf.DUMMYFUNCTION("""COMPUTED_VALUE"""),"○参加する")</f>
        <v>○参加する</v>
      </c>
      <c r="J53" s="5"/>
      <c r="K53" s="12">
        <f t="shared" si="2"/>
        <v>1</v>
      </c>
    </row>
    <row r="54" ht="19.5" customHeight="1">
      <c r="A54" s="5">
        <f>IFERROR(__xludf.DUMMYFUNCTION("""COMPUTED_VALUE"""),131517.0)</f>
        <v>131517</v>
      </c>
      <c r="B54" s="5" t="str">
        <f>IFERROR(__xludf.DUMMYFUNCTION("""COMPUTED_VALUE"""),"浅川	竣風")</f>
        <v>浅川	竣風</v>
      </c>
      <c r="C54" s="5" t="str">
        <f>IFERROR(__xludf.DUMMYFUNCTION("""COMPUTED_VALUE"""),"あさかわ	はやて")</f>
        <v>あさかわ	はやて</v>
      </c>
      <c r="D54" s="5">
        <f>IFERROR(__xludf.DUMMYFUNCTION("""COMPUTED_VALUE"""),3.0)</f>
        <v>3</v>
      </c>
      <c r="E54" s="5" t="str">
        <f>IFERROR(__xludf.DUMMYFUNCTION("""COMPUTED_VALUE"""),"男")</f>
        <v>男</v>
      </c>
      <c r="F54" s="5" t="str">
        <f>IFERROR(__xludf.DUMMYFUNCTION("""COMPUTED_VALUE"""),"MUA")</f>
        <v>MUA</v>
      </c>
      <c r="G54" s="5" t="str">
        <f>IFERROR(__xludf.DUMMYFUNCTION("""COMPUTED_VALUE"""),"○出場")</f>
        <v>○出場</v>
      </c>
      <c r="H54" s="5">
        <f>IFERROR(__xludf.DUMMYFUNCTION("""COMPUTED_VALUE"""),519392.0)</f>
        <v>519392</v>
      </c>
      <c r="I54" s="5" t="str">
        <f>IFERROR(__xludf.DUMMYFUNCTION("""COMPUTED_VALUE"""),"×参加しない")</f>
        <v>×参加しない</v>
      </c>
      <c r="J54" s="5"/>
      <c r="K54" s="12">
        <f t="shared" si="2"/>
        <v>1</v>
      </c>
    </row>
    <row r="55" ht="19.5" customHeight="1">
      <c r="A55" s="5">
        <f>IFERROR(__xludf.DUMMYFUNCTION("""COMPUTED_VALUE"""),131519.0)</f>
        <v>131519</v>
      </c>
      <c r="B55" s="5" t="str">
        <f>IFERROR(__xludf.DUMMYFUNCTION("""COMPUTED_VALUE"""),"天田	鈴")</f>
        <v>天田	鈴</v>
      </c>
      <c r="C55" s="5" t="str">
        <f>IFERROR(__xludf.DUMMYFUNCTION("""COMPUTED_VALUE"""),"あまだ すず")</f>
        <v>あまだ すず</v>
      </c>
      <c r="D55" s="5">
        <f>IFERROR(__xludf.DUMMYFUNCTION("""COMPUTED_VALUE"""),3.0)</f>
        <v>3</v>
      </c>
      <c r="E55" s="5" t="str">
        <f>IFERROR(__xludf.DUMMYFUNCTION("""COMPUTED_VALUE"""),"女")</f>
        <v>女</v>
      </c>
      <c r="F55" s="5" t="str">
        <f>IFERROR(__xludf.DUMMYFUNCTION("""COMPUTED_VALUE"""),"×欠場")</f>
        <v>×欠場</v>
      </c>
      <c r="G55" s="5" t="str">
        <f>IFERROR(__xludf.DUMMYFUNCTION("""COMPUTED_VALUE"""),"×欠場")</f>
        <v>×欠場</v>
      </c>
      <c r="H55" s="5"/>
      <c r="I55" s="5" t="str">
        <f>IFERROR(__xludf.DUMMYFUNCTION("""COMPUTED_VALUE"""),"×参加しない")</f>
        <v>×参加しない</v>
      </c>
      <c r="J55" s="5"/>
      <c r="K55" s="12">
        <f t="shared" si="2"/>
        <v>0</v>
      </c>
    </row>
    <row r="56" ht="19.5" customHeight="1">
      <c r="A56" s="5">
        <f>IFERROR(__xludf.DUMMYFUNCTION("""COMPUTED_VALUE"""),131523.0)</f>
        <v>131523</v>
      </c>
      <c r="B56" s="5" t="str">
        <f>IFERROR(__xludf.DUMMYFUNCTION("""COMPUTED_VALUE"""),"野口	遊瑚")</f>
        <v>野口	遊瑚</v>
      </c>
      <c r="C56" s="5" t="str">
        <f>IFERROR(__xludf.DUMMYFUNCTION("""COMPUTED_VALUE"""),"のぐち	ゆうご")</f>
        <v>のぐち	ゆうご</v>
      </c>
      <c r="D56" s="5">
        <f>IFERROR(__xludf.DUMMYFUNCTION("""COMPUTED_VALUE"""),3.0)</f>
        <v>3</v>
      </c>
      <c r="E56" s="5" t="str">
        <f>IFERROR(__xludf.DUMMYFUNCTION("""COMPUTED_VALUE"""),"男")</f>
        <v>男</v>
      </c>
      <c r="F56" s="5" t="str">
        <f>IFERROR(__xludf.DUMMYFUNCTION("""COMPUTED_VALUE"""),"MUA")</f>
        <v>MUA</v>
      </c>
      <c r="G56" s="5" t="str">
        <f>IFERROR(__xludf.DUMMYFUNCTION("""COMPUTED_VALUE"""),"○出場")</f>
        <v>○出場</v>
      </c>
      <c r="H56" s="5">
        <f>IFERROR(__xludf.DUMMYFUNCTION("""COMPUTED_VALUE"""),519400.0)</f>
        <v>519400</v>
      </c>
      <c r="I56" s="5" t="str">
        <f>IFERROR(__xludf.DUMMYFUNCTION("""COMPUTED_VALUE"""),"○参加する")</f>
        <v>○参加する</v>
      </c>
      <c r="J56" s="5"/>
      <c r="K56" s="12">
        <f t="shared" si="2"/>
        <v>1</v>
      </c>
    </row>
    <row r="57" ht="19.5" customHeight="1">
      <c r="A57" s="5">
        <f>IFERROR(__xludf.DUMMYFUNCTION("""COMPUTED_VALUE"""),131525.0)</f>
        <v>131525</v>
      </c>
      <c r="B57" s="5" t="str">
        <f>IFERROR(__xludf.DUMMYFUNCTION("""COMPUTED_VALUE"""),"及川	貴大")</f>
        <v>及川	貴大</v>
      </c>
      <c r="C57" s="5" t="str">
        <f>IFERROR(__xludf.DUMMYFUNCTION("""COMPUTED_VALUE"""),"おいかわ	たかひろ")</f>
        <v>おいかわ	たかひろ</v>
      </c>
      <c r="D57" s="5">
        <f>IFERROR(__xludf.DUMMYFUNCTION("""COMPUTED_VALUE"""),3.0)</f>
        <v>3</v>
      </c>
      <c r="E57" s="5" t="str">
        <f>IFERROR(__xludf.DUMMYFUNCTION("""COMPUTED_VALUE"""),"男")</f>
        <v>男</v>
      </c>
      <c r="F57" s="5" t="str">
        <f>IFERROR(__xludf.DUMMYFUNCTION("""COMPUTED_VALUE"""),"×欠場")</f>
        <v>×欠場</v>
      </c>
      <c r="G57" s="5" t="str">
        <f>IFERROR(__xludf.DUMMYFUNCTION("""COMPUTED_VALUE"""),"×欠場")</f>
        <v>×欠場</v>
      </c>
      <c r="H57" s="5"/>
      <c r="I57" s="5" t="str">
        <f>IFERROR(__xludf.DUMMYFUNCTION("""COMPUTED_VALUE"""),"×参加しない")</f>
        <v>×参加しない</v>
      </c>
      <c r="J57" s="5"/>
      <c r="K57" s="12">
        <f t="shared" si="2"/>
        <v>0</v>
      </c>
    </row>
    <row r="58" ht="19.5" customHeight="1">
      <c r="A58" s="5">
        <f>IFERROR(__xludf.DUMMYFUNCTION("""COMPUTED_VALUE"""),31501.0)</f>
        <v>31501</v>
      </c>
      <c r="B58" s="5" t="str">
        <f>IFERROR(__xludf.DUMMYFUNCTION("""COMPUTED_VALUE"""),"村岡 泰輝")</f>
        <v>村岡 泰輝</v>
      </c>
      <c r="C58" s="5" t="str">
        <f>IFERROR(__xludf.DUMMYFUNCTION("""COMPUTED_VALUE"""),"むらおか たいき")</f>
        <v>むらおか たいき</v>
      </c>
      <c r="D58" s="5">
        <f>IFERROR(__xludf.DUMMYFUNCTION("""COMPUTED_VALUE"""),4.0)</f>
        <v>4</v>
      </c>
      <c r="E58" s="5" t="str">
        <f>IFERROR(__xludf.DUMMYFUNCTION("""COMPUTED_VALUE"""),"男")</f>
        <v>男</v>
      </c>
      <c r="F58" s="5" t="str">
        <f>IFERROR(__xludf.DUMMYFUNCTION("""COMPUTED_VALUE"""),"MUA")</f>
        <v>MUA</v>
      </c>
      <c r="G58" s="5" t="str">
        <f>IFERROR(__xludf.DUMMYFUNCTION("""COMPUTED_VALUE"""),"○出場")</f>
        <v>○出場</v>
      </c>
      <c r="H58" s="5">
        <f>IFERROR(__xludf.DUMMYFUNCTION("""COMPUTED_VALUE"""),524938.0)</f>
        <v>524938</v>
      </c>
      <c r="I58" s="5" t="str">
        <f>IFERROR(__xludf.DUMMYFUNCTION("""COMPUTED_VALUE"""),"○参加する")</f>
        <v>○参加する</v>
      </c>
      <c r="J58" s="5"/>
      <c r="K58" s="12">
        <f t="shared" si="2"/>
        <v>1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1034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2</v>
      </c>
      <c r="E4" s="7">
        <f t="shared" ref="E4:E6" si="1">C4*D4</f>
        <v>17000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0</v>
      </c>
      <c r="E5" s="7">
        <f t="shared" si="1"/>
        <v>0</v>
      </c>
    </row>
    <row r="6" ht="19.5" customHeight="1">
      <c r="A6" s="2" t="s">
        <v>9</v>
      </c>
      <c r="B6" s="4"/>
      <c r="C6" s="7">
        <v>32700.0</v>
      </c>
      <c r="D6" s="5">
        <f>D4+D5</f>
        <v>2</v>
      </c>
      <c r="E6" s="7">
        <f t="shared" si="1"/>
        <v>65400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1</v>
      </c>
      <c r="E7" s="7">
        <f>C7*D7/3</f>
        <v>1500</v>
      </c>
      <c r="F7" s="47" t="s">
        <v>2319</v>
      </c>
    </row>
    <row r="8" ht="19.5" customHeight="1">
      <c r="A8" s="2" t="s">
        <v>11</v>
      </c>
      <c r="B8" s="4"/>
      <c r="C8" s="7">
        <v>500.0</v>
      </c>
      <c r="D8" s="5">
        <f>D4-COUNT(H14:H201)</f>
        <v>1</v>
      </c>
      <c r="E8" s="7">
        <f>C8*D8</f>
        <v>500</v>
      </c>
    </row>
    <row r="9" ht="19.5" customHeight="1">
      <c r="A9" s="9"/>
      <c r="B9" s="9"/>
      <c r="C9" s="9"/>
      <c r="D9" s="10" t="s">
        <v>5</v>
      </c>
      <c r="E9" s="11">
        <f>SUM(E4:E8)</f>
        <v>84400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IFERROR(__xludf.DUMMYFUNCTION("FILTER('個人別エントリー'!C2:L1018,'個人別エントリー'!B2:B1018=A1)"),331602.0)</f>
        <v>331602</v>
      </c>
      <c r="B14" s="5" t="str">
        <f>IFERROR(__xludf.DUMMYFUNCTION("""COMPUTED_VALUE"""),"秋山尚人")</f>
        <v>秋山尚人</v>
      </c>
      <c r="C14" s="5" t="str">
        <f>IFERROR(__xludf.DUMMYFUNCTION("""COMPUTED_VALUE"""),"あきやまなおと")</f>
        <v>あきやまなおと</v>
      </c>
      <c r="D14" s="5">
        <f>IFERROR(__xludf.DUMMYFUNCTION("""COMPUTED_VALUE"""),1.0)</f>
        <v>1</v>
      </c>
      <c r="E14" s="5" t="str">
        <f>IFERROR(__xludf.DUMMYFUNCTION("""COMPUTED_VALUE"""),"男")</f>
        <v>男</v>
      </c>
      <c r="F14" s="5" t="str">
        <f>IFERROR(__xludf.DUMMYFUNCTION("""COMPUTED_VALUE"""),"MUF")</f>
        <v>MUF</v>
      </c>
      <c r="G14" s="5" t="str">
        <f>IFERROR(__xludf.DUMMYFUNCTION("""COMPUTED_VALUE"""),"○出場")</f>
        <v>○出場</v>
      </c>
      <c r="H14" s="5"/>
      <c r="I14" s="5" t="str">
        <f>IFERROR(__xludf.DUMMYFUNCTION("""COMPUTED_VALUE"""),"○参加する")</f>
        <v>○参加する</v>
      </c>
      <c r="J14" s="5"/>
      <c r="K14" s="12">
        <f t="shared" ref="K14:K201" si="2">IF(AND(OR(F14="×欠場",F14=""),OR(G14="×欠場",G14="")),0,1)</f>
        <v>1</v>
      </c>
      <c r="M14" s="5" t="str">
        <f>IFERROR(__xludf.DUMMYFUNCTION("FILTER('リレー内容'!$C$2:$K$51,'リレー内容'!$B$2:$B$51=A1)"),"○出場")</f>
        <v>○出場</v>
      </c>
      <c r="N14" s="5" t="str">
        <f>IFERROR(__xludf.DUMMYFUNCTION("""COMPUTED_VALUE"""),"×欠場")</f>
        <v>×欠場</v>
      </c>
      <c r="O14" s="5">
        <f>IFERROR(__xludf.DUMMYFUNCTION("""COMPUTED_VALUE"""),0.0)</f>
        <v>0</v>
      </c>
      <c r="P14" s="5">
        <f>IFERROR(__xludf.DUMMYFUNCTION("""COMPUTED_VALUE"""),0.0)</f>
        <v>0</v>
      </c>
      <c r="Q14" s="5">
        <f>IFERROR(__xludf.DUMMYFUNCTION("""COMPUTED_VALUE"""),0.0)</f>
        <v>0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IFERROR(__xludf.DUMMYFUNCTION("""COMPUTED_VALUE"""),1.0)</f>
        <v>1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IFERROR(__xludf.DUMMYFUNCTION("""COMPUTED_VALUE"""),231601.0)</f>
        <v>231601</v>
      </c>
      <c r="B15" s="5" t="str">
        <f>IFERROR(__xludf.DUMMYFUNCTION("""COMPUTED_VALUE"""),"新目 裕亮")</f>
        <v>新目 裕亮</v>
      </c>
      <c r="C15" s="5" t="str">
        <f>IFERROR(__xludf.DUMMYFUNCTION("""COMPUTED_VALUE"""),"しんめ　ゆうすけ")</f>
        <v>しんめ　ゆうすけ</v>
      </c>
      <c r="D15" s="5">
        <f>IFERROR(__xludf.DUMMYFUNCTION("""COMPUTED_VALUE"""),2.0)</f>
        <v>2</v>
      </c>
      <c r="E15" s="5" t="str">
        <f>IFERROR(__xludf.DUMMYFUNCTION("""COMPUTED_VALUE"""),"男")</f>
        <v>男</v>
      </c>
      <c r="F15" s="5" t="str">
        <f>IFERROR(__xludf.DUMMYFUNCTION("""COMPUTED_VALUE"""),"MUA")</f>
        <v>MUA</v>
      </c>
      <c r="G15" s="5" t="str">
        <f>IFERROR(__xludf.DUMMYFUNCTION("""COMPUTED_VALUE"""),"○出場")</f>
        <v>○出場</v>
      </c>
      <c r="H15" s="5">
        <f>IFERROR(__xludf.DUMMYFUNCTION("""COMPUTED_VALUE"""),265846.0)</f>
        <v>265846</v>
      </c>
      <c r="I15" s="5" t="str">
        <f>IFERROR(__xludf.DUMMYFUNCTION("""COMPUTED_VALUE"""),"○参加する")</f>
        <v>○参加する</v>
      </c>
      <c r="J15" s="5"/>
      <c r="K15" s="12">
        <f t="shared" si="2"/>
        <v>1</v>
      </c>
    </row>
    <row r="16" ht="19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12">
        <f t="shared" si="2"/>
        <v>0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12">
        <f t="shared" si="2"/>
        <v>0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12">
        <f t="shared" si="2"/>
        <v>0</v>
      </c>
      <c r="M18" s="5" t="s">
        <v>25</v>
      </c>
      <c r="N18" s="2"/>
      <c r="O18" s="4"/>
      <c r="P18" s="2" t="s">
        <v>2329</v>
      </c>
      <c r="Q18" s="3"/>
      <c r="R18" s="3"/>
      <c r="S18" s="3"/>
      <c r="T18" s="3"/>
      <c r="U18" s="4"/>
    </row>
    <row r="19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12">
        <f t="shared" si="2"/>
        <v>0</v>
      </c>
      <c r="M19" s="5" t="s">
        <v>32</v>
      </c>
      <c r="N19" s="2" t="s">
        <v>1034</v>
      </c>
      <c r="O19" s="4"/>
      <c r="P19" s="2" t="s">
        <v>2330</v>
      </c>
      <c r="Q19" s="3"/>
      <c r="R19" s="3"/>
      <c r="S19" s="3"/>
      <c r="T19" s="3"/>
      <c r="U19" s="4"/>
    </row>
    <row r="2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12">
        <f t="shared" si="2"/>
        <v>0</v>
      </c>
    </row>
    <row r="21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12">
        <f t="shared" si="2"/>
        <v>0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2">
        <f t="shared" si="2"/>
        <v>0</v>
      </c>
      <c r="M23" s="2"/>
      <c r="N23" s="4"/>
      <c r="O23" s="2"/>
      <c r="P23" s="3"/>
      <c r="Q23" s="5"/>
      <c r="R23" s="2"/>
      <c r="S23" s="4"/>
      <c r="T23" s="14"/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2">
        <f t="shared" si="2"/>
        <v>0</v>
      </c>
      <c r="M24" s="2"/>
      <c r="N24" s="4"/>
      <c r="O24" s="2"/>
      <c r="P24" s="3"/>
      <c r="Q24" s="5"/>
      <c r="R24" s="2"/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12">
        <f t="shared" si="2"/>
        <v>0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12">
        <f t="shared" si="2"/>
        <v>0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12">
        <f t="shared" si="2"/>
        <v>0</v>
      </c>
    </row>
    <row r="28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12">
        <f t="shared" si="2"/>
        <v>0</v>
      </c>
    </row>
    <row r="29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12">
        <f t="shared" si="2"/>
        <v>0</v>
      </c>
    </row>
    <row r="3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12">
        <f t="shared" si="2"/>
        <v>0</v>
      </c>
    </row>
    <row r="31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12">
        <f t="shared" si="2"/>
        <v>0</v>
      </c>
    </row>
    <row r="32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12">
        <f t="shared" si="2"/>
        <v>0</v>
      </c>
    </row>
    <row r="33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12">
        <f t="shared" si="2"/>
        <v>0</v>
      </c>
    </row>
    <row r="34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12">
        <f t="shared" si="2"/>
        <v>0</v>
      </c>
    </row>
    <row r="3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12">
        <f t="shared" si="2"/>
        <v>0</v>
      </c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12">
        <f t="shared" si="2"/>
        <v>0</v>
      </c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12">
        <f t="shared" si="2"/>
        <v>0</v>
      </c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12">
        <f t="shared" si="2"/>
        <v>0</v>
      </c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12">
        <f t="shared" si="2"/>
        <v>0</v>
      </c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12">
        <f t="shared" si="2"/>
        <v>0</v>
      </c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12">
        <f t="shared" si="2"/>
        <v>0</v>
      </c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12">
        <f t="shared" si="2"/>
        <v>0</v>
      </c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12">
        <f t="shared" si="2"/>
        <v>0</v>
      </c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12">
        <f t="shared" si="2"/>
        <v>0</v>
      </c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2">
        <f t="shared" si="2"/>
        <v>0</v>
      </c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2">
        <f t="shared" si="2"/>
        <v>0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1039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18</v>
      </c>
      <c r="E4" s="7">
        <f t="shared" ref="E4:E8" si="1">C4*D4</f>
        <v>153000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2</v>
      </c>
      <c r="E5" s="7">
        <f t="shared" si="1"/>
        <v>16000</v>
      </c>
    </row>
    <row r="6" ht="19.5" customHeight="1">
      <c r="A6" s="2" t="s">
        <v>9</v>
      </c>
      <c r="B6" s="4"/>
      <c r="C6" s="7">
        <v>32700.0</v>
      </c>
      <c r="D6" s="5">
        <f>D4+D5</f>
        <v>20</v>
      </c>
      <c r="E6" s="7">
        <f t="shared" si="1"/>
        <v>654000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2</v>
      </c>
      <c r="E7" s="7">
        <f t="shared" si="1"/>
        <v>9000</v>
      </c>
    </row>
    <row r="8" ht="19.5" customHeight="1">
      <c r="A8" s="2" t="s">
        <v>11</v>
      </c>
      <c r="B8" s="4"/>
      <c r="C8" s="7">
        <v>500.0</v>
      </c>
      <c r="D8" s="5">
        <f>D4-COUNT(H14:H201)</f>
        <v>0</v>
      </c>
      <c r="E8" s="7">
        <f t="shared" si="1"/>
        <v>0</v>
      </c>
    </row>
    <row r="9" ht="19.5" customHeight="1">
      <c r="A9" s="9"/>
      <c r="B9" s="9"/>
      <c r="C9" s="9"/>
      <c r="D9" s="10" t="s">
        <v>5</v>
      </c>
      <c r="E9" s="11">
        <f>SUM(E4:E8)</f>
        <v>832000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IFERROR(__xludf.DUMMYFUNCTION("FILTER('個人別エントリー'!C2:L1018,'個人別エントリー'!B2:B1018=A1)"),331701.0)</f>
        <v>331701</v>
      </c>
      <c r="B14" s="5" t="str">
        <f>IFERROR(__xludf.DUMMYFUNCTION("""COMPUTED_VALUE"""),"福室凜")</f>
        <v>福室凜</v>
      </c>
      <c r="C14" s="5" t="str">
        <f>IFERROR(__xludf.DUMMYFUNCTION("""COMPUTED_VALUE"""),"ふくむろりん")</f>
        <v>ふくむろりん</v>
      </c>
      <c r="D14" s="5">
        <f>IFERROR(__xludf.DUMMYFUNCTION("""COMPUTED_VALUE"""),1.0)</f>
        <v>1</v>
      </c>
      <c r="E14" s="5" t="str">
        <f>IFERROR(__xludf.DUMMYFUNCTION("""COMPUTED_VALUE"""),"男")</f>
        <v>男</v>
      </c>
      <c r="F14" s="5" t="str">
        <f>IFERROR(__xludf.DUMMYFUNCTION("""COMPUTED_VALUE"""),"MUF")</f>
        <v>MUF</v>
      </c>
      <c r="G14" s="5" t="str">
        <f>IFERROR(__xludf.DUMMYFUNCTION("""COMPUTED_VALUE"""),"○出場")</f>
        <v>○出場</v>
      </c>
      <c r="H14" s="5">
        <f>IFERROR(__xludf.DUMMYFUNCTION("""COMPUTED_VALUE"""),524976.0)</f>
        <v>524976</v>
      </c>
      <c r="I14" s="5" t="str">
        <f>IFERROR(__xludf.DUMMYFUNCTION("""COMPUTED_VALUE"""),"○参加する")</f>
        <v>○参加する</v>
      </c>
      <c r="J14" s="5"/>
      <c r="K14" s="12">
        <f t="shared" ref="K14:K201" si="2">IF(AND(OR(F14="×欠場",F14=""),OR(G14="×欠場",G14="")),0,1)</f>
        <v>1</v>
      </c>
      <c r="M14" s="5" t="str">
        <f>IFERROR(__xludf.DUMMYFUNCTION("FILTER('リレー内容'!$C$2:$K$51,'リレー内容'!$B$2:$B$51=A1)"),"○出場")</f>
        <v>○出場</v>
      </c>
      <c r="N14" s="5" t="str">
        <f>IFERROR(__xludf.DUMMYFUNCTION("""COMPUTED_VALUE"""),"○出場")</f>
        <v>○出場</v>
      </c>
      <c r="O14" s="5">
        <f>IFERROR(__xludf.DUMMYFUNCTION("""COMPUTED_VALUE"""),3.0)</f>
        <v>3</v>
      </c>
      <c r="P14" s="5">
        <f>IFERROR(__xludf.DUMMYFUNCTION("""COMPUTED_VALUE"""),1.0)</f>
        <v>1</v>
      </c>
      <c r="Q14" s="5">
        <f>IFERROR(__xludf.DUMMYFUNCTION("""COMPUTED_VALUE"""),0.0)</f>
        <v>0</v>
      </c>
      <c r="R14" s="5">
        <f>IFERROR(__xludf.DUMMYFUNCTION("""COMPUTED_VALUE"""),7.0)</f>
        <v>7</v>
      </c>
      <c r="S14" s="5">
        <f>IFERROR(__xludf.DUMMYFUNCTION("""COMPUTED_VALUE"""),2.0)</f>
        <v>2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IFERROR(__xludf.DUMMYFUNCTION("""COMPUTED_VALUE"""),331702.0)</f>
        <v>331702</v>
      </c>
      <c r="B15" s="5" t="str">
        <f>IFERROR(__xludf.DUMMYFUNCTION("""COMPUTED_VALUE"""),"清古光")</f>
        <v>清古光</v>
      </c>
      <c r="C15" s="5" t="str">
        <f>IFERROR(__xludf.DUMMYFUNCTION("""COMPUTED_VALUE"""),"せいこひかる")</f>
        <v>せいこひかる</v>
      </c>
      <c r="D15" s="5">
        <f>IFERROR(__xludf.DUMMYFUNCTION("""COMPUTED_VALUE"""),1.0)</f>
        <v>1</v>
      </c>
      <c r="E15" s="5" t="str">
        <f>IFERROR(__xludf.DUMMYFUNCTION("""COMPUTED_VALUE"""),"男")</f>
        <v>男</v>
      </c>
      <c r="F15" s="5" t="str">
        <f>IFERROR(__xludf.DUMMYFUNCTION("""COMPUTED_VALUE"""),"MUF")</f>
        <v>MUF</v>
      </c>
      <c r="G15" s="5" t="str">
        <f>IFERROR(__xludf.DUMMYFUNCTION("""COMPUTED_VALUE"""),"○出場")</f>
        <v>○出場</v>
      </c>
      <c r="H15" s="5">
        <f>IFERROR(__xludf.DUMMYFUNCTION("""COMPUTED_VALUE"""),507585.0)</f>
        <v>507585</v>
      </c>
      <c r="I15" s="5" t="str">
        <f>IFERROR(__xludf.DUMMYFUNCTION("""COMPUTED_VALUE"""),"○参加する")</f>
        <v>○参加する</v>
      </c>
      <c r="J15" s="5"/>
      <c r="K15" s="12">
        <f t="shared" si="2"/>
        <v>1</v>
      </c>
    </row>
    <row r="16" ht="19.5" customHeight="1">
      <c r="A16" s="5">
        <f>IFERROR(__xludf.DUMMYFUNCTION("""COMPUTED_VALUE"""),331703.0)</f>
        <v>331703</v>
      </c>
      <c r="B16" s="5" t="str">
        <f>IFERROR(__xludf.DUMMYFUNCTION("""COMPUTED_VALUE"""),"篠原本")</f>
        <v>篠原本</v>
      </c>
      <c r="C16" s="5" t="str">
        <f>IFERROR(__xludf.DUMMYFUNCTION("""COMPUTED_VALUE"""),"しのはらもと")</f>
        <v>しのはらもと</v>
      </c>
      <c r="D16" s="5">
        <f>IFERROR(__xludf.DUMMYFUNCTION("""COMPUTED_VALUE"""),1.0)</f>
        <v>1</v>
      </c>
      <c r="E16" s="5" t="str">
        <f>IFERROR(__xludf.DUMMYFUNCTION("""COMPUTED_VALUE"""),"男")</f>
        <v>男</v>
      </c>
      <c r="F16" s="5" t="str">
        <f>IFERROR(__xludf.DUMMYFUNCTION("""COMPUTED_VALUE"""),"MUF")</f>
        <v>MUF</v>
      </c>
      <c r="G16" s="5" t="str">
        <f>IFERROR(__xludf.DUMMYFUNCTION("""COMPUTED_VALUE"""),"○出場")</f>
        <v>○出場</v>
      </c>
      <c r="H16" s="5">
        <f>IFERROR(__xludf.DUMMYFUNCTION("""COMPUTED_VALUE"""),518925.0)</f>
        <v>518925</v>
      </c>
      <c r="I16" s="5" t="str">
        <f>IFERROR(__xludf.DUMMYFUNCTION("""COMPUTED_VALUE"""),"○参加する")</f>
        <v>○参加する</v>
      </c>
      <c r="J16" s="5"/>
      <c r="K16" s="12">
        <f t="shared" si="2"/>
        <v>1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>
        <f>IFERROR(__xludf.DUMMYFUNCTION("""COMPUTED_VALUE"""),331704.0)</f>
        <v>331704</v>
      </c>
      <c r="B17" s="5" t="str">
        <f>IFERROR(__xludf.DUMMYFUNCTION("""COMPUTED_VALUE"""),"東野旭")</f>
        <v>東野旭</v>
      </c>
      <c r="C17" s="5" t="str">
        <f>IFERROR(__xludf.DUMMYFUNCTION("""COMPUTED_VALUE"""),"ひがしのあさひ")</f>
        <v>ひがしのあさひ</v>
      </c>
      <c r="D17" s="5">
        <f>IFERROR(__xludf.DUMMYFUNCTION("""COMPUTED_VALUE"""),1.0)</f>
        <v>1</v>
      </c>
      <c r="E17" s="5" t="str">
        <f>IFERROR(__xludf.DUMMYFUNCTION("""COMPUTED_VALUE"""),"男")</f>
        <v>男</v>
      </c>
      <c r="F17" s="5" t="str">
        <f>IFERROR(__xludf.DUMMYFUNCTION("""COMPUTED_VALUE"""),"MUF")</f>
        <v>MUF</v>
      </c>
      <c r="G17" s="5" t="str">
        <f>IFERROR(__xludf.DUMMYFUNCTION("""COMPUTED_VALUE"""),"○出場")</f>
        <v>○出場</v>
      </c>
      <c r="H17" s="5">
        <f>IFERROR(__xludf.DUMMYFUNCTION("""COMPUTED_VALUE"""),518921.0)</f>
        <v>518921</v>
      </c>
      <c r="I17" s="5" t="str">
        <f>IFERROR(__xludf.DUMMYFUNCTION("""COMPUTED_VALUE"""),"○参加する")</f>
        <v>○参加する</v>
      </c>
      <c r="J17" s="5"/>
      <c r="K17" s="12">
        <f t="shared" si="2"/>
        <v>1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>
        <f>IFERROR(__xludf.DUMMYFUNCTION("""COMPUTED_VALUE"""),331705.0)</f>
        <v>331705</v>
      </c>
      <c r="B18" s="5" t="str">
        <f>IFERROR(__xludf.DUMMYFUNCTION("""COMPUTED_VALUE"""),"木村康陽")</f>
        <v>木村康陽</v>
      </c>
      <c r="C18" s="5" t="str">
        <f>IFERROR(__xludf.DUMMYFUNCTION("""COMPUTED_VALUE"""),"きむらこうよう")</f>
        <v>きむらこうよう</v>
      </c>
      <c r="D18" s="5">
        <f>IFERROR(__xludf.DUMMYFUNCTION("""COMPUTED_VALUE"""),1.0)</f>
        <v>1</v>
      </c>
      <c r="E18" s="5" t="str">
        <f>IFERROR(__xludf.DUMMYFUNCTION("""COMPUTED_VALUE"""),"男")</f>
        <v>男</v>
      </c>
      <c r="F18" s="5" t="str">
        <f>IFERROR(__xludf.DUMMYFUNCTION("""COMPUTED_VALUE"""),"MUF")</f>
        <v>MUF</v>
      </c>
      <c r="G18" s="5" t="str">
        <f>IFERROR(__xludf.DUMMYFUNCTION("""COMPUTED_VALUE"""),"○出場")</f>
        <v>○出場</v>
      </c>
      <c r="H18" s="5">
        <f>IFERROR(__xludf.DUMMYFUNCTION("""COMPUTED_VALUE"""),518922.0)</f>
        <v>518922</v>
      </c>
      <c r="I18" s="5" t="str">
        <f>IFERROR(__xludf.DUMMYFUNCTION("""COMPUTED_VALUE"""),"○参加する")</f>
        <v>○参加する</v>
      </c>
      <c r="J18" s="5"/>
      <c r="K18" s="12">
        <f t="shared" si="2"/>
        <v>1</v>
      </c>
      <c r="M18" s="5"/>
      <c r="N18" s="2"/>
      <c r="O18" s="4"/>
      <c r="P18" s="2"/>
      <c r="Q18" s="3"/>
      <c r="R18" s="3"/>
      <c r="S18" s="3"/>
      <c r="T18" s="3"/>
      <c r="U18" s="4"/>
    </row>
    <row r="19" ht="19.5" customHeight="1">
      <c r="A19" s="5">
        <f>IFERROR(__xludf.DUMMYFUNCTION("""COMPUTED_VALUE"""),331706.0)</f>
        <v>331706</v>
      </c>
      <c r="B19" s="5" t="str">
        <f>IFERROR(__xludf.DUMMYFUNCTION("""COMPUTED_VALUE"""),"津田宇立")</f>
        <v>津田宇立</v>
      </c>
      <c r="C19" s="5" t="str">
        <f>IFERROR(__xludf.DUMMYFUNCTION("""COMPUTED_VALUE"""),"つだうりゅう")</f>
        <v>つだうりゅう</v>
      </c>
      <c r="D19" s="5">
        <f>IFERROR(__xludf.DUMMYFUNCTION("""COMPUTED_VALUE"""),1.0)</f>
        <v>1</v>
      </c>
      <c r="E19" s="5" t="str">
        <f>IFERROR(__xludf.DUMMYFUNCTION("""COMPUTED_VALUE"""),"男")</f>
        <v>男</v>
      </c>
      <c r="F19" s="5" t="str">
        <f>IFERROR(__xludf.DUMMYFUNCTION("""COMPUTED_VALUE"""),"×欠場")</f>
        <v>×欠場</v>
      </c>
      <c r="G19" s="5" t="str">
        <f>IFERROR(__xludf.DUMMYFUNCTION("""COMPUTED_VALUE"""),"×欠場")</f>
        <v>×欠場</v>
      </c>
      <c r="H19" s="5"/>
      <c r="I19" s="5" t="str">
        <f>IFERROR(__xludf.DUMMYFUNCTION("""COMPUTED_VALUE"""),"×参加しない")</f>
        <v>×参加しない</v>
      </c>
      <c r="J19" s="5"/>
      <c r="K19" s="12">
        <f t="shared" si="2"/>
        <v>0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>
        <f>IFERROR(__xludf.DUMMYFUNCTION("""COMPUTED_VALUE"""),331707.0)</f>
        <v>331707</v>
      </c>
      <c r="B20" s="5" t="str">
        <f>IFERROR(__xludf.DUMMYFUNCTION("""COMPUTED_VALUE"""),"松下晃二郎")</f>
        <v>松下晃二郎</v>
      </c>
      <c r="C20" s="5" t="str">
        <f>IFERROR(__xludf.DUMMYFUNCTION("""COMPUTED_VALUE"""),"まつしたこうじろう")</f>
        <v>まつしたこうじろう</v>
      </c>
      <c r="D20" s="5">
        <f>IFERROR(__xludf.DUMMYFUNCTION("""COMPUTED_VALUE"""),1.0)</f>
        <v>1</v>
      </c>
      <c r="E20" s="5" t="str">
        <f>IFERROR(__xludf.DUMMYFUNCTION("""COMPUTED_VALUE"""),"男")</f>
        <v>男</v>
      </c>
      <c r="F20" s="5" t="str">
        <f>IFERROR(__xludf.DUMMYFUNCTION("""COMPUTED_VALUE"""),"×欠場")</f>
        <v>×欠場</v>
      </c>
      <c r="G20" s="5" t="str">
        <f>IFERROR(__xludf.DUMMYFUNCTION("""COMPUTED_VALUE"""),"×欠場")</f>
        <v>×欠場</v>
      </c>
      <c r="H20" s="5"/>
      <c r="I20" s="5" t="str">
        <f>IFERROR(__xludf.DUMMYFUNCTION("""COMPUTED_VALUE"""),"×参加しない")</f>
        <v>×参加しない</v>
      </c>
      <c r="J20" s="5"/>
      <c r="K20" s="12">
        <f t="shared" si="2"/>
        <v>0</v>
      </c>
    </row>
    <row r="21" ht="19.5" customHeight="1">
      <c r="A21" s="5">
        <f>IFERROR(__xludf.DUMMYFUNCTION("""COMPUTED_VALUE"""),331708.0)</f>
        <v>331708</v>
      </c>
      <c r="B21" s="5" t="str">
        <f>IFERROR(__xludf.DUMMYFUNCTION("""COMPUTED_VALUE"""),"酒井大毅")</f>
        <v>酒井大毅</v>
      </c>
      <c r="C21" s="5" t="str">
        <f>IFERROR(__xludf.DUMMYFUNCTION("""COMPUTED_VALUE"""),"さかいだいき")</f>
        <v>さかいだいき</v>
      </c>
      <c r="D21" s="5">
        <f>IFERROR(__xludf.DUMMYFUNCTION("""COMPUTED_VALUE"""),1.0)</f>
        <v>1</v>
      </c>
      <c r="E21" s="5" t="str">
        <f>IFERROR(__xludf.DUMMYFUNCTION("""COMPUTED_VALUE"""),"男")</f>
        <v>男</v>
      </c>
      <c r="F21" s="5" t="str">
        <f>IFERROR(__xludf.DUMMYFUNCTION("""COMPUTED_VALUE"""),"×欠場")</f>
        <v>×欠場</v>
      </c>
      <c r="G21" s="5" t="str">
        <f>IFERROR(__xludf.DUMMYFUNCTION("""COMPUTED_VALUE"""),"×欠場")</f>
        <v>×欠場</v>
      </c>
      <c r="H21" s="5"/>
      <c r="I21" s="5" t="str">
        <f>IFERROR(__xludf.DUMMYFUNCTION("""COMPUTED_VALUE"""),"×参加しない")</f>
        <v>×参加しない</v>
      </c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>
        <f>IFERROR(__xludf.DUMMYFUNCTION("""COMPUTED_VALUE"""),331709.0)</f>
        <v>331709</v>
      </c>
      <c r="B22" s="5" t="str">
        <f>IFERROR(__xludf.DUMMYFUNCTION("""COMPUTED_VALUE"""),"冨澤滉貴")</f>
        <v>冨澤滉貴</v>
      </c>
      <c r="C22" s="5" t="str">
        <f>IFERROR(__xludf.DUMMYFUNCTION("""COMPUTED_VALUE"""),"とみざわこうき")</f>
        <v>とみざわこうき</v>
      </c>
      <c r="D22" s="5">
        <f>IFERROR(__xludf.DUMMYFUNCTION("""COMPUTED_VALUE"""),1.0)</f>
        <v>1</v>
      </c>
      <c r="E22" s="5" t="str">
        <f>IFERROR(__xludf.DUMMYFUNCTION("""COMPUTED_VALUE"""),"男")</f>
        <v>男</v>
      </c>
      <c r="F22" s="5" t="str">
        <f>IFERROR(__xludf.DUMMYFUNCTION("""COMPUTED_VALUE"""),"MUF")</f>
        <v>MUF</v>
      </c>
      <c r="G22" s="5" t="str">
        <f>IFERROR(__xludf.DUMMYFUNCTION("""COMPUTED_VALUE"""),"○出場")</f>
        <v>○出場</v>
      </c>
      <c r="H22" s="5">
        <f>IFERROR(__xludf.DUMMYFUNCTION("""COMPUTED_VALUE"""),518920.0)</f>
        <v>518920</v>
      </c>
      <c r="I22" s="5" t="str">
        <f>IFERROR(__xludf.DUMMYFUNCTION("""COMPUTED_VALUE"""),"×参加しない")</f>
        <v>×参加しない</v>
      </c>
      <c r="J22" s="5"/>
      <c r="K22" s="12">
        <f t="shared" si="2"/>
        <v>1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>
        <f>IFERROR(__xludf.DUMMYFUNCTION("""COMPUTED_VALUE"""),331710.0)</f>
        <v>331710</v>
      </c>
      <c r="B23" s="5" t="str">
        <f>IFERROR(__xludf.DUMMYFUNCTION("""COMPUTED_VALUE"""),"神崎隼多")</f>
        <v>神崎隼多</v>
      </c>
      <c r="C23" s="5" t="str">
        <f>IFERROR(__xludf.DUMMYFUNCTION("""COMPUTED_VALUE"""),"かんざきはやた")</f>
        <v>かんざきはやた</v>
      </c>
      <c r="D23" s="5">
        <f>IFERROR(__xludf.DUMMYFUNCTION("""COMPUTED_VALUE"""),1.0)</f>
        <v>1</v>
      </c>
      <c r="E23" s="5" t="str">
        <f>IFERROR(__xludf.DUMMYFUNCTION("""COMPUTED_VALUE"""),"男")</f>
        <v>男</v>
      </c>
      <c r="F23" s="5" t="str">
        <f>IFERROR(__xludf.DUMMYFUNCTION("""COMPUTED_VALUE"""),"×欠場")</f>
        <v>×欠場</v>
      </c>
      <c r="G23" s="5" t="str">
        <f>IFERROR(__xludf.DUMMYFUNCTION("""COMPUTED_VALUE"""),"×欠場")</f>
        <v>×欠場</v>
      </c>
      <c r="H23" s="5"/>
      <c r="I23" s="5" t="str">
        <f>IFERROR(__xludf.DUMMYFUNCTION("""COMPUTED_VALUE"""),"×参加しない")</f>
        <v>×参加しない</v>
      </c>
      <c r="J23" s="5"/>
      <c r="K23" s="12">
        <f t="shared" si="2"/>
        <v>0</v>
      </c>
      <c r="M23" s="2" t="str">
        <f>IFERROR(__xludf.DUMMYFUNCTION("FILTER('オフィシャル'!$B$2:$B$65,'オフィシャル'!$A$2:$A$65=A1)"),"立松空")</f>
        <v>立松空</v>
      </c>
      <c r="N23" s="4"/>
      <c r="O23" s="2" t="str">
        <f>IFERROR(__xludf.DUMMYFUNCTION("FILTER('オフィシャル'!$C$2:$C$65,'オフィシャル'!$A$2:$A$65=A1)"),"たてまつそら")</f>
        <v>たてまつそら</v>
      </c>
      <c r="P23" s="3"/>
      <c r="Q23" s="5" t="str">
        <f>IFERROR(__xludf.DUMMYFUNCTION("FILTER('オフィシャル'!$D$2:$D$65,'オフィシャル'!$A$2:$A$65=A1)"),"男")</f>
        <v>男</v>
      </c>
      <c r="R23" s="2" t="str">
        <f>IFERROR(__xludf.DUMMYFUNCTION("FILTER('オフィシャル'!$E$2:$E$65,'オフィシャル'!$A$2:$A$65=A1)"),"○する")</f>
        <v>○する</v>
      </c>
      <c r="S23" s="4"/>
      <c r="T23" s="14" t="str">
        <f>IFERROR(__xludf.DUMMYFUNCTION("FILTER('オフィシャル'!$F$2:$F$65,'オフィシャル'!$A$2:$A$65=A1)"),"")</f>
        <v/>
      </c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>
        <f>IFERROR(__xludf.DUMMYFUNCTION("""COMPUTED_VALUE"""),331711.0)</f>
        <v>331711</v>
      </c>
      <c r="B24" s="5" t="str">
        <f>IFERROR(__xludf.DUMMYFUNCTION("""COMPUTED_VALUE"""),"徳本直記")</f>
        <v>徳本直記</v>
      </c>
      <c r="C24" s="5" t="str">
        <f>IFERROR(__xludf.DUMMYFUNCTION("""COMPUTED_VALUE"""),"とくもとなおき")</f>
        <v>とくもとなおき</v>
      </c>
      <c r="D24" s="5">
        <f>IFERROR(__xludf.DUMMYFUNCTION("""COMPUTED_VALUE"""),1.0)</f>
        <v>1</v>
      </c>
      <c r="E24" s="5" t="str">
        <f>IFERROR(__xludf.DUMMYFUNCTION("""COMPUTED_VALUE"""),"男")</f>
        <v>男</v>
      </c>
      <c r="F24" s="5" t="str">
        <f>IFERROR(__xludf.DUMMYFUNCTION("""COMPUTED_VALUE"""),"×欠場")</f>
        <v>×欠場</v>
      </c>
      <c r="G24" s="5" t="str">
        <f>IFERROR(__xludf.DUMMYFUNCTION("""COMPUTED_VALUE"""),"×欠場")</f>
        <v>×欠場</v>
      </c>
      <c r="H24" s="5"/>
      <c r="I24" s="5" t="str">
        <f>IFERROR(__xludf.DUMMYFUNCTION("""COMPUTED_VALUE"""),"×参加しない")</f>
        <v>×参加しない</v>
      </c>
      <c r="J24" s="5"/>
      <c r="K24" s="12">
        <f t="shared" si="2"/>
        <v>0</v>
      </c>
      <c r="M24" s="2" t="str">
        <f>IFERROR(__xludf.DUMMYFUNCTION("""COMPUTED_VALUE"""),"宮岡竜也")</f>
        <v>宮岡竜也</v>
      </c>
      <c r="N24" s="4"/>
      <c r="O24" s="2" t="str">
        <f>IFERROR(__xludf.DUMMYFUNCTION("""COMPUTED_VALUE"""),"みやおかたつや")</f>
        <v>みやおかたつや</v>
      </c>
      <c r="P24" s="3"/>
      <c r="Q24" s="5" t="str">
        <f>IFERROR(__xludf.DUMMYFUNCTION("""COMPUTED_VALUE"""),"男")</f>
        <v>男</v>
      </c>
      <c r="R24" s="2" t="str">
        <f>IFERROR(__xludf.DUMMYFUNCTION("""COMPUTED_VALUE"""),"○する")</f>
        <v>○する</v>
      </c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>
        <f>IFERROR(__xludf.DUMMYFUNCTION("""COMPUTED_VALUE"""),331712.0)</f>
        <v>331712</v>
      </c>
      <c r="B25" s="5" t="str">
        <f>IFERROR(__xludf.DUMMYFUNCTION("""COMPUTED_VALUE"""),"吉岡実沙音")</f>
        <v>吉岡実沙音</v>
      </c>
      <c r="C25" s="5" t="str">
        <f>IFERROR(__xludf.DUMMYFUNCTION("""COMPUTED_VALUE"""),"よしおかみさと")</f>
        <v>よしおかみさと</v>
      </c>
      <c r="D25" s="5">
        <f>IFERROR(__xludf.DUMMYFUNCTION("""COMPUTED_VALUE"""),1.0)</f>
        <v>1</v>
      </c>
      <c r="E25" s="5" t="str">
        <f>IFERROR(__xludf.DUMMYFUNCTION("""COMPUTED_VALUE"""),"女")</f>
        <v>女</v>
      </c>
      <c r="F25" s="5" t="str">
        <f>IFERROR(__xludf.DUMMYFUNCTION("""COMPUTED_VALUE"""),"WUF")</f>
        <v>WUF</v>
      </c>
      <c r="G25" s="5" t="str">
        <f>IFERROR(__xludf.DUMMYFUNCTION("""COMPUTED_VALUE"""),"○出場")</f>
        <v>○出場</v>
      </c>
      <c r="H25" s="5">
        <f>IFERROR(__xludf.DUMMYFUNCTION("""COMPUTED_VALUE"""),518923.0)</f>
        <v>518923</v>
      </c>
      <c r="I25" s="5" t="str">
        <f>IFERROR(__xludf.DUMMYFUNCTION("""COMPUTED_VALUE"""),"○参加する")</f>
        <v>○参加する</v>
      </c>
      <c r="J25" s="5"/>
      <c r="K25" s="12">
        <f t="shared" si="2"/>
        <v>1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>
        <f>IFERROR(__xludf.DUMMYFUNCTION("""COMPUTED_VALUE"""),331713.0)</f>
        <v>331713</v>
      </c>
      <c r="B26" s="5" t="str">
        <f>IFERROR(__xludf.DUMMYFUNCTION("""COMPUTED_VALUE"""),"宇山　李紗")</f>
        <v>宇山　李紗</v>
      </c>
      <c r="C26" s="5" t="str">
        <f>IFERROR(__xludf.DUMMYFUNCTION("""COMPUTED_VALUE"""),"うやま　りさ")</f>
        <v>うやま　りさ</v>
      </c>
      <c r="D26" s="5">
        <f>IFERROR(__xludf.DUMMYFUNCTION("""COMPUTED_VALUE"""),1.0)</f>
        <v>1</v>
      </c>
      <c r="E26" s="5" t="str">
        <f>IFERROR(__xludf.DUMMYFUNCTION("""COMPUTED_VALUE"""),"女")</f>
        <v>女</v>
      </c>
      <c r="F26" s="5" t="str">
        <f>IFERROR(__xludf.DUMMYFUNCTION("""COMPUTED_VALUE"""),"WUF")</f>
        <v>WUF</v>
      </c>
      <c r="G26" s="5" t="str">
        <f>IFERROR(__xludf.DUMMYFUNCTION("""COMPUTED_VALUE"""),"○出場")</f>
        <v>○出場</v>
      </c>
      <c r="H26" s="5">
        <f>IFERROR(__xludf.DUMMYFUNCTION("""COMPUTED_VALUE"""),518924.0)</f>
        <v>518924</v>
      </c>
      <c r="I26" s="5" t="str">
        <f>IFERROR(__xludf.DUMMYFUNCTION("""COMPUTED_VALUE"""),"○参加する")</f>
        <v>○参加する</v>
      </c>
      <c r="J26" s="5"/>
      <c r="K26" s="12">
        <f t="shared" si="2"/>
        <v>1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>
        <f>IFERROR(__xludf.DUMMYFUNCTION("""COMPUTED_VALUE"""),231701.0)</f>
        <v>231701</v>
      </c>
      <c r="B27" s="5" t="str">
        <f>IFERROR(__xludf.DUMMYFUNCTION("""COMPUTED_VALUE"""),"岡田健汰")</f>
        <v>岡田健汰</v>
      </c>
      <c r="C27" s="5" t="str">
        <f>IFERROR(__xludf.DUMMYFUNCTION("""COMPUTED_VALUE"""),"おかだけんた")</f>
        <v>おかだけんた</v>
      </c>
      <c r="D27" s="5">
        <f>IFERROR(__xludf.DUMMYFUNCTION("""COMPUTED_VALUE"""),2.0)</f>
        <v>2</v>
      </c>
      <c r="E27" s="5" t="str">
        <f>IFERROR(__xludf.DUMMYFUNCTION("""COMPUTED_VALUE"""),"男")</f>
        <v>男</v>
      </c>
      <c r="F27" s="5" t="str">
        <f>IFERROR(__xludf.DUMMYFUNCTION("""COMPUTED_VALUE"""),"×欠場")</f>
        <v>×欠場</v>
      </c>
      <c r="G27" s="5" t="str">
        <f>IFERROR(__xludf.DUMMYFUNCTION("""COMPUTED_VALUE"""),"×欠場")</f>
        <v>×欠場</v>
      </c>
      <c r="H27" s="5"/>
      <c r="I27" s="5" t="str">
        <f>IFERROR(__xludf.DUMMYFUNCTION("""COMPUTED_VALUE"""),"×参加しない")</f>
        <v>×参加しない</v>
      </c>
      <c r="J27" s="5"/>
      <c r="K27" s="12">
        <f t="shared" si="2"/>
        <v>0</v>
      </c>
    </row>
    <row r="28" ht="19.5" customHeight="1">
      <c r="A28" s="5">
        <f>IFERROR(__xludf.DUMMYFUNCTION("""COMPUTED_VALUE"""),231702.0)</f>
        <v>231702</v>
      </c>
      <c r="B28" s="5" t="str">
        <f>IFERROR(__xludf.DUMMYFUNCTION("""COMPUTED_VALUE"""),"牧依瑠香")</f>
        <v>牧依瑠香</v>
      </c>
      <c r="C28" s="5" t="str">
        <f>IFERROR(__xludf.DUMMYFUNCTION("""COMPUTED_VALUE"""),"まきいるか")</f>
        <v>まきいるか</v>
      </c>
      <c r="D28" s="5">
        <f>IFERROR(__xludf.DUMMYFUNCTION("""COMPUTED_VALUE"""),2.0)</f>
        <v>2</v>
      </c>
      <c r="E28" s="5" t="str">
        <f>IFERROR(__xludf.DUMMYFUNCTION("""COMPUTED_VALUE"""),"女")</f>
        <v>女</v>
      </c>
      <c r="F28" s="5" t="str">
        <f>IFERROR(__xludf.DUMMYFUNCTION("""COMPUTED_VALUE"""),"WUA")</f>
        <v>WUA</v>
      </c>
      <c r="G28" s="5" t="str">
        <f>IFERROR(__xludf.DUMMYFUNCTION("""COMPUTED_VALUE"""),"○出場")</f>
        <v>○出場</v>
      </c>
      <c r="H28" s="5">
        <f>IFERROR(__xludf.DUMMYFUNCTION("""COMPUTED_VALUE"""),524973.0)</f>
        <v>524973</v>
      </c>
      <c r="I28" s="5" t="str">
        <f>IFERROR(__xludf.DUMMYFUNCTION("""COMPUTED_VALUE"""),"○参加する")</f>
        <v>○参加する</v>
      </c>
      <c r="J28" s="5"/>
      <c r="K28" s="12">
        <f t="shared" si="2"/>
        <v>1</v>
      </c>
    </row>
    <row r="29" ht="19.5" customHeight="1">
      <c r="A29" s="5">
        <f>IFERROR(__xludf.DUMMYFUNCTION("""COMPUTED_VALUE"""),231703.0)</f>
        <v>231703</v>
      </c>
      <c r="B29" s="5" t="str">
        <f>IFERROR(__xludf.DUMMYFUNCTION("""COMPUTED_VALUE"""),"青木由奈")</f>
        <v>青木由奈</v>
      </c>
      <c r="C29" s="5" t="str">
        <f>IFERROR(__xludf.DUMMYFUNCTION("""COMPUTED_VALUE"""),"あおきゆうな")</f>
        <v>あおきゆうな</v>
      </c>
      <c r="D29" s="5">
        <f>IFERROR(__xludf.DUMMYFUNCTION("""COMPUTED_VALUE"""),2.0)</f>
        <v>2</v>
      </c>
      <c r="E29" s="5" t="str">
        <f>IFERROR(__xludf.DUMMYFUNCTION("""COMPUTED_VALUE"""),"女")</f>
        <v>女</v>
      </c>
      <c r="F29" s="5" t="str">
        <f>IFERROR(__xludf.DUMMYFUNCTION("""COMPUTED_VALUE"""),"WUA")</f>
        <v>WUA</v>
      </c>
      <c r="G29" s="5" t="str">
        <f>IFERROR(__xludf.DUMMYFUNCTION("""COMPUTED_VALUE"""),"○出場")</f>
        <v>○出場</v>
      </c>
      <c r="H29" s="5">
        <f>IFERROR(__xludf.DUMMYFUNCTION("""COMPUTED_VALUE"""),259751.0)</f>
        <v>259751</v>
      </c>
      <c r="I29" s="5" t="str">
        <f>IFERROR(__xludf.DUMMYFUNCTION("""COMPUTED_VALUE"""),"×参加しない")</f>
        <v>×参加しない</v>
      </c>
      <c r="J29" s="5"/>
      <c r="K29" s="12">
        <f t="shared" si="2"/>
        <v>1</v>
      </c>
    </row>
    <row r="30" ht="19.5" customHeight="1">
      <c r="A30" s="5">
        <f>IFERROR(__xludf.DUMMYFUNCTION("""COMPUTED_VALUE"""),231704.0)</f>
        <v>231704</v>
      </c>
      <c r="B30" s="5" t="str">
        <f>IFERROR(__xludf.DUMMYFUNCTION("""COMPUTED_VALUE"""),"阿南隆征")</f>
        <v>阿南隆征</v>
      </c>
      <c r="C30" s="5" t="str">
        <f>IFERROR(__xludf.DUMMYFUNCTION("""COMPUTED_VALUE"""),"あなんりゅうせい")</f>
        <v>あなんりゅうせい</v>
      </c>
      <c r="D30" s="5">
        <f>IFERROR(__xludf.DUMMYFUNCTION("""COMPUTED_VALUE"""),2.0)</f>
        <v>2</v>
      </c>
      <c r="E30" s="5" t="str">
        <f>IFERROR(__xludf.DUMMYFUNCTION("""COMPUTED_VALUE"""),"男")</f>
        <v>男</v>
      </c>
      <c r="F30" s="5" t="str">
        <f>IFERROR(__xludf.DUMMYFUNCTION("""COMPUTED_VALUE"""),"×欠場")</f>
        <v>×欠場</v>
      </c>
      <c r="G30" s="5" t="str">
        <f>IFERROR(__xludf.DUMMYFUNCTION("""COMPUTED_VALUE"""),"×欠場")</f>
        <v>×欠場</v>
      </c>
      <c r="H30" s="5"/>
      <c r="I30" s="5" t="str">
        <f>IFERROR(__xludf.DUMMYFUNCTION("""COMPUTED_VALUE"""),"×参加しない")</f>
        <v>×参加しない</v>
      </c>
      <c r="J30" s="5"/>
      <c r="K30" s="12">
        <f t="shared" si="2"/>
        <v>0</v>
      </c>
    </row>
    <row r="31" ht="19.5" customHeight="1">
      <c r="A31" s="5">
        <f>IFERROR(__xludf.DUMMYFUNCTION("""COMPUTED_VALUE"""),231705.0)</f>
        <v>231705</v>
      </c>
      <c r="B31" s="5" t="str">
        <f>IFERROR(__xludf.DUMMYFUNCTION("""COMPUTED_VALUE"""),"平井龍都")</f>
        <v>平井龍都</v>
      </c>
      <c r="C31" s="5" t="str">
        <f>IFERROR(__xludf.DUMMYFUNCTION("""COMPUTED_VALUE"""),"ひらいりゅうと")</f>
        <v>ひらいりゅうと</v>
      </c>
      <c r="D31" s="5">
        <f>IFERROR(__xludf.DUMMYFUNCTION("""COMPUTED_VALUE"""),2.0)</f>
        <v>2</v>
      </c>
      <c r="E31" s="5" t="str">
        <f>IFERROR(__xludf.DUMMYFUNCTION("""COMPUTED_VALUE"""),"男")</f>
        <v>男</v>
      </c>
      <c r="F31" s="5" t="str">
        <f>IFERROR(__xludf.DUMMYFUNCTION("""COMPUTED_VALUE"""),"×欠場")</f>
        <v>×欠場</v>
      </c>
      <c r="G31" s="5" t="str">
        <f>IFERROR(__xludf.DUMMYFUNCTION("""COMPUTED_VALUE"""),"×欠場")</f>
        <v>×欠場</v>
      </c>
      <c r="H31" s="5"/>
      <c r="I31" s="5" t="str">
        <f>IFERROR(__xludf.DUMMYFUNCTION("""COMPUTED_VALUE"""),"×参加しない")</f>
        <v>×参加しない</v>
      </c>
      <c r="J31" s="5"/>
      <c r="K31" s="12">
        <f t="shared" si="2"/>
        <v>0</v>
      </c>
    </row>
    <row r="32" ht="19.5" customHeight="1">
      <c r="A32" s="5">
        <f>IFERROR(__xludf.DUMMYFUNCTION("""COMPUTED_VALUE"""),231707.0)</f>
        <v>231707</v>
      </c>
      <c r="B32" s="5" t="str">
        <f>IFERROR(__xludf.DUMMYFUNCTION("""COMPUTED_VALUE"""),"前田舞")</f>
        <v>前田舞</v>
      </c>
      <c r="C32" s="5" t="str">
        <f>IFERROR(__xludf.DUMMYFUNCTION("""COMPUTED_VALUE"""),"まえだまい")</f>
        <v>まえだまい</v>
      </c>
      <c r="D32" s="5">
        <f>IFERROR(__xludf.DUMMYFUNCTION("""COMPUTED_VALUE"""),2.0)</f>
        <v>2</v>
      </c>
      <c r="E32" s="5" t="str">
        <f>IFERROR(__xludf.DUMMYFUNCTION("""COMPUTED_VALUE"""),"女")</f>
        <v>女</v>
      </c>
      <c r="F32" s="5" t="str">
        <f>IFERROR(__xludf.DUMMYFUNCTION("""COMPUTED_VALUE"""),"WUA")</f>
        <v>WUA</v>
      </c>
      <c r="G32" s="5" t="str">
        <f>IFERROR(__xludf.DUMMYFUNCTION("""COMPUTED_VALUE"""),"○出場")</f>
        <v>○出場</v>
      </c>
      <c r="H32" s="5">
        <f>IFERROR(__xludf.DUMMYFUNCTION("""COMPUTED_VALUE"""),524972.0)</f>
        <v>524972</v>
      </c>
      <c r="I32" s="5" t="str">
        <f>IFERROR(__xludf.DUMMYFUNCTION("""COMPUTED_VALUE"""),"○参加する")</f>
        <v>○参加する</v>
      </c>
      <c r="J32" s="5"/>
      <c r="K32" s="12">
        <f t="shared" si="2"/>
        <v>1</v>
      </c>
    </row>
    <row r="33" ht="19.5" customHeight="1">
      <c r="A33" s="5">
        <f>IFERROR(__xludf.DUMMYFUNCTION("""COMPUTED_VALUE"""),231709.0)</f>
        <v>231709</v>
      </c>
      <c r="B33" s="5" t="str">
        <f>IFERROR(__xludf.DUMMYFUNCTION("""COMPUTED_VALUE"""),"塩野谷壮馬")</f>
        <v>塩野谷壮馬</v>
      </c>
      <c r="C33" s="5" t="str">
        <f>IFERROR(__xludf.DUMMYFUNCTION("""COMPUTED_VALUE"""),"しおのやそうま")</f>
        <v>しおのやそうま</v>
      </c>
      <c r="D33" s="5">
        <f>IFERROR(__xludf.DUMMYFUNCTION("""COMPUTED_VALUE"""),2.0)</f>
        <v>2</v>
      </c>
      <c r="E33" s="5" t="str">
        <f>IFERROR(__xludf.DUMMYFUNCTION("""COMPUTED_VALUE"""),"男")</f>
        <v>男</v>
      </c>
      <c r="F33" s="5" t="str">
        <f>IFERROR(__xludf.DUMMYFUNCTION("""COMPUTED_VALUE"""),"×欠場")</f>
        <v>×欠場</v>
      </c>
      <c r="G33" s="5" t="str">
        <f>IFERROR(__xludf.DUMMYFUNCTION("""COMPUTED_VALUE"""),"×欠場")</f>
        <v>×欠場</v>
      </c>
      <c r="H33" s="5"/>
      <c r="I33" s="5" t="str">
        <f>IFERROR(__xludf.DUMMYFUNCTION("""COMPUTED_VALUE"""),"×参加しない")</f>
        <v>×参加しない</v>
      </c>
      <c r="J33" s="5"/>
      <c r="K33" s="12">
        <f t="shared" si="2"/>
        <v>0</v>
      </c>
    </row>
    <row r="34" ht="19.5" customHeight="1">
      <c r="A34" s="5">
        <f>IFERROR(__xludf.DUMMYFUNCTION("""COMPUTED_VALUE"""),231710.0)</f>
        <v>231710</v>
      </c>
      <c r="B34" s="5" t="str">
        <f>IFERROR(__xludf.DUMMYFUNCTION("""COMPUTED_VALUE"""),"青木悠真")</f>
        <v>青木悠真</v>
      </c>
      <c r="C34" s="5" t="str">
        <f>IFERROR(__xludf.DUMMYFUNCTION("""COMPUTED_VALUE"""),"あおきゆうま")</f>
        <v>あおきゆうま</v>
      </c>
      <c r="D34" s="5">
        <f>IFERROR(__xludf.DUMMYFUNCTION("""COMPUTED_VALUE"""),2.0)</f>
        <v>2</v>
      </c>
      <c r="E34" s="5" t="str">
        <f>IFERROR(__xludf.DUMMYFUNCTION("""COMPUTED_VALUE"""),"男")</f>
        <v>男</v>
      </c>
      <c r="F34" s="5" t="str">
        <f>IFERROR(__xludf.DUMMYFUNCTION("""COMPUTED_VALUE"""),"MUA")</f>
        <v>MUA</v>
      </c>
      <c r="G34" s="5" t="str">
        <f>IFERROR(__xludf.DUMMYFUNCTION("""COMPUTED_VALUE"""),"○出場")</f>
        <v>○出場</v>
      </c>
      <c r="H34" s="5">
        <f>IFERROR(__xludf.DUMMYFUNCTION("""COMPUTED_VALUE"""),524962.0)</f>
        <v>524962</v>
      </c>
      <c r="I34" s="5" t="str">
        <f>IFERROR(__xludf.DUMMYFUNCTION("""COMPUTED_VALUE"""),"○参加する")</f>
        <v>○参加する</v>
      </c>
      <c r="J34" s="5"/>
      <c r="K34" s="12">
        <f t="shared" si="2"/>
        <v>1</v>
      </c>
    </row>
    <row r="35" ht="19.5" customHeight="1">
      <c r="A35" s="5">
        <f>IFERROR(__xludf.DUMMYFUNCTION("""COMPUTED_VALUE"""),231711.0)</f>
        <v>231711</v>
      </c>
      <c r="B35" s="5" t="str">
        <f>IFERROR(__xludf.DUMMYFUNCTION("""COMPUTED_VALUE"""),"中川琉晟")</f>
        <v>中川琉晟</v>
      </c>
      <c r="C35" s="5" t="str">
        <f>IFERROR(__xludf.DUMMYFUNCTION("""COMPUTED_VALUE"""),"なかがわりゅうせい")</f>
        <v>なかがわりゅうせい</v>
      </c>
      <c r="D35" s="5">
        <f>IFERROR(__xludf.DUMMYFUNCTION("""COMPUTED_VALUE"""),2.0)</f>
        <v>2</v>
      </c>
      <c r="E35" s="5" t="str">
        <f>IFERROR(__xludf.DUMMYFUNCTION("""COMPUTED_VALUE"""),"男")</f>
        <v>男</v>
      </c>
      <c r="F35" s="5" t="str">
        <f>IFERROR(__xludf.DUMMYFUNCTION("""COMPUTED_VALUE"""),"×欠場")</f>
        <v>×欠場</v>
      </c>
      <c r="G35" s="5" t="str">
        <f>IFERROR(__xludf.DUMMYFUNCTION("""COMPUTED_VALUE"""),"×欠場")</f>
        <v>×欠場</v>
      </c>
      <c r="H35" s="5"/>
      <c r="I35" s="5" t="str">
        <f>IFERROR(__xludf.DUMMYFUNCTION("""COMPUTED_VALUE"""),"×参加しない")</f>
        <v>×参加しない</v>
      </c>
      <c r="J35" s="5"/>
      <c r="K35" s="12">
        <f t="shared" si="2"/>
        <v>0</v>
      </c>
    </row>
    <row r="36" ht="19.5" customHeight="1">
      <c r="A36" s="5">
        <f>IFERROR(__xludf.DUMMYFUNCTION("""COMPUTED_VALUE"""),231713.0)</f>
        <v>231713</v>
      </c>
      <c r="B36" s="5" t="str">
        <f>IFERROR(__xludf.DUMMYFUNCTION("""COMPUTED_VALUE"""),"恵比木楓")</f>
        <v>恵比木楓</v>
      </c>
      <c r="C36" s="5" t="str">
        <f>IFERROR(__xludf.DUMMYFUNCTION("""COMPUTED_VALUE"""),"えびきかえで")</f>
        <v>えびきかえで</v>
      </c>
      <c r="D36" s="5">
        <f>IFERROR(__xludf.DUMMYFUNCTION("""COMPUTED_VALUE"""),2.0)</f>
        <v>2</v>
      </c>
      <c r="E36" s="5" t="str">
        <f>IFERROR(__xludf.DUMMYFUNCTION("""COMPUTED_VALUE"""),"女")</f>
        <v>女</v>
      </c>
      <c r="F36" s="5" t="str">
        <f>IFERROR(__xludf.DUMMYFUNCTION("""COMPUTED_VALUE"""),"×欠場")</f>
        <v>×欠場</v>
      </c>
      <c r="G36" s="5" t="str">
        <f>IFERROR(__xludf.DUMMYFUNCTION("""COMPUTED_VALUE"""),"×欠場")</f>
        <v>×欠場</v>
      </c>
      <c r="H36" s="5"/>
      <c r="I36" s="5" t="str">
        <f>IFERROR(__xludf.DUMMYFUNCTION("""COMPUTED_VALUE"""),"×参加しない")</f>
        <v>×参加しない</v>
      </c>
      <c r="J36" s="5"/>
      <c r="K36" s="12">
        <f t="shared" si="2"/>
        <v>0</v>
      </c>
    </row>
    <row r="37" ht="19.5" customHeight="1">
      <c r="A37" s="5">
        <f>IFERROR(__xludf.DUMMYFUNCTION("""COMPUTED_VALUE"""),231717.0)</f>
        <v>231717</v>
      </c>
      <c r="B37" s="5" t="str">
        <f>IFERROR(__xludf.DUMMYFUNCTION("""COMPUTED_VALUE"""),"中塚大輝")</f>
        <v>中塚大輝</v>
      </c>
      <c r="C37" s="5" t="str">
        <f>IFERROR(__xludf.DUMMYFUNCTION("""COMPUTED_VALUE"""),"なかつかだいき")</f>
        <v>なかつかだいき</v>
      </c>
      <c r="D37" s="5">
        <f>IFERROR(__xludf.DUMMYFUNCTION("""COMPUTED_VALUE"""),2.0)</f>
        <v>2</v>
      </c>
      <c r="E37" s="5" t="str">
        <f>IFERROR(__xludf.DUMMYFUNCTION("""COMPUTED_VALUE"""),"男")</f>
        <v>男</v>
      </c>
      <c r="F37" s="5" t="str">
        <f>IFERROR(__xludf.DUMMYFUNCTION("""COMPUTED_VALUE"""),"×欠場")</f>
        <v>×欠場</v>
      </c>
      <c r="G37" s="5" t="str">
        <f>IFERROR(__xludf.DUMMYFUNCTION("""COMPUTED_VALUE"""),"×欠場")</f>
        <v>×欠場</v>
      </c>
      <c r="H37" s="5"/>
      <c r="I37" s="5" t="str">
        <f>IFERROR(__xludf.DUMMYFUNCTION("""COMPUTED_VALUE"""),"×参加しない")</f>
        <v>×参加しない</v>
      </c>
      <c r="J37" s="5"/>
      <c r="K37" s="12">
        <f t="shared" si="2"/>
        <v>0</v>
      </c>
    </row>
    <row r="38" ht="19.5" customHeight="1">
      <c r="A38" s="5">
        <f>IFERROR(__xludf.DUMMYFUNCTION("""COMPUTED_VALUE"""),231721.0)</f>
        <v>231721</v>
      </c>
      <c r="B38" s="5" t="str">
        <f>IFERROR(__xludf.DUMMYFUNCTION("""COMPUTED_VALUE"""),"岩下智紀")</f>
        <v>岩下智紀</v>
      </c>
      <c r="C38" s="5" t="str">
        <f>IFERROR(__xludf.DUMMYFUNCTION("""COMPUTED_VALUE"""),"いわしたともき")</f>
        <v>いわしたともき</v>
      </c>
      <c r="D38" s="5">
        <f>IFERROR(__xludf.DUMMYFUNCTION("""COMPUTED_VALUE"""),2.0)</f>
        <v>2</v>
      </c>
      <c r="E38" s="5" t="str">
        <f>IFERROR(__xludf.DUMMYFUNCTION("""COMPUTED_VALUE"""),"男")</f>
        <v>男</v>
      </c>
      <c r="F38" s="5" t="str">
        <f>IFERROR(__xludf.DUMMYFUNCTION("""COMPUTED_VALUE"""),"×欠場")</f>
        <v>×欠場</v>
      </c>
      <c r="G38" s="5" t="str">
        <f>IFERROR(__xludf.DUMMYFUNCTION("""COMPUTED_VALUE"""),"×欠場")</f>
        <v>×欠場</v>
      </c>
      <c r="H38" s="5"/>
      <c r="I38" s="5" t="str">
        <f>IFERROR(__xludf.DUMMYFUNCTION("""COMPUTED_VALUE"""),"×参加しない")</f>
        <v>×参加しない</v>
      </c>
      <c r="J38" s="5"/>
      <c r="K38" s="12">
        <f t="shared" si="2"/>
        <v>0</v>
      </c>
    </row>
    <row r="39" ht="19.5" customHeight="1">
      <c r="A39" s="5">
        <f>IFERROR(__xludf.DUMMYFUNCTION("""COMPUTED_VALUE"""),231724.0)</f>
        <v>231724</v>
      </c>
      <c r="B39" s="5" t="str">
        <f>IFERROR(__xludf.DUMMYFUNCTION("""COMPUTED_VALUE"""),"町田真菜")</f>
        <v>町田真菜</v>
      </c>
      <c r="C39" s="5" t="str">
        <f>IFERROR(__xludf.DUMMYFUNCTION("""COMPUTED_VALUE"""),"まちだまな")</f>
        <v>まちだまな</v>
      </c>
      <c r="D39" s="5">
        <f>IFERROR(__xludf.DUMMYFUNCTION("""COMPUTED_VALUE"""),2.0)</f>
        <v>2</v>
      </c>
      <c r="E39" s="5" t="str">
        <f>IFERROR(__xludf.DUMMYFUNCTION("""COMPUTED_VALUE"""),"女")</f>
        <v>女</v>
      </c>
      <c r="F39" s="5" t="str">
        <f>IFERROR(__xludf.DUMMYFUNCTION("""COMPUTED_VALUE"""),"×欠場")</f>
        <v>×欠場</v>
      </c>
      <c r="G39" s="5" t="str">
        <f>IFERROR(__xludf.DUMMYFUNCTION("""COMPUTED_VALUE"""),"×欠場")</f>
        <v>×欠場</v>
      </c>
      <c r="H39" s="5"/>
      <c r="I39" s="5" t="str">
        <f>IFERROR(__xludf.DUMMYFUNCTION("""COMPUTED_VALUE"""),"×参加しない")</f>
        <v>×参加しない</v>
      </c>
      <c r="J39" s="5"/>
      <c r="K39" s="12">
        <f t="shared" si="2"/>
        <v>0</v>
      </c>
    </row>
    <row r="40" ht="19.5" customHeight="1">
      <c r="A40" s="5">
        <f>IFERROR(__xludf.DUMMYFUNCTION("""COMPUTED_VALUE"""),231725.0)</f>
        <v>231725</v>
      </c>
      <c r="B40" s="5" t="str">
        <f>IFERROR(__xludf.DUMMYFUNCTION("""COMPUTED_VALUE"""),"新海百海")</f>
        <v>新海百海</v>
      </c>
      <c r="C40" s="5" t="str">
        <f>IFERROR(__xludf.DUMMYFUNCTION("""COMPUTED_VALUE"""),"しんかいもね")</f>
        <v>しんかいもね</v>
      </c>
      <c r="D40" s="5">
        <f>IFERROR(__xludf.DUMMYFUNCTION("""COMPUTED_VALUE"""),2.0)</f>
        <v>2</v>
      </c>
      <c r="E40" s="5" t="str">
        <f>IFERROR(__xludf.DUMMYFUNCTION("""COMPUTED_VALUE"""),"女")</f>
        <v>女</v>
      </c>
      <c r="F40" s="5" t="str">
        <f>IFERROR(__xludf.DUMMYFUNCTION("""COMPUTED_VALUE"""),"×欠場")</f>
        <v>×欠場</v>
      </c>
      <c r="G40" s="5" t="str">
        <f>IFERROR(__xludf.DUMMYFUNCTION("""COMPUTED_VALUE"""),"×欠場")</f>
        <v>×欠場</v>
      </c>
      <c r="H40" s="5"/>
      <c r="I40" s="5" t="str">
        <f>IFERROR(__xludf.DUMMYFUNCTION("""COMPUTED_VALUE"""),"×参加しない")</f>
        <v>×参加しない</v>
      </c>
      <c r="J40" s="5"/>
      <c r="K40" s="12">
        <f t="shared" si="2"/>
        <v>0</v>
      </c>
    </row>
    <row r="41" ht="19.5" customHeight="1">
      <c r="A41" s="5">
        <f>IFERROR(__xludf.DUMMYFUNCTION("""COMPUTED_VALUE"""),131701.0)</f>
        <v>131701</v>
      </c>
      <c r="B41" s="5" t="str">
        <f>IFERROR(__xludf.DUMMYFUNCTION("""COMPUTED_VALUE"""),"豊田暁彦")</f>
        <v>豊田暁彦</v>
      </c>
      <c r="C41" s="5" t="str">
        <f>IFERROR(__xludf.DUMMYFUNCTION("""COMPUTED_VALUE"""),"とよだあきひこ")</f>
        <v>とよだあきひこ</v>
      </c>
      <c r="D41" s="5">
        <f>IFERROR(__xludf.DUMMYFUNCTION("""COMPUTED_VALUE"""),3.0)</f>
        <v>3</v>
      </c>
      <c r="E41" s="5" t="str">
        <f>IFERROR(__xludf.DUMMYFUNCTION("""COMPUTED_VALUE"""),"男")</f>
        <v>男</v>
      </c>
      <c r="F41" s="5" t="str">
        <f>IFERROR(__xludf.DUMMYFUNCTION("""COMPUTED_VALUE"""),"MUA")</f>
        <v>MUA</v>
      </c>
      <c r="G41" s="5" t="str">
        <f>IFERROR(__xludf.DUMMYFUNCTION("""COMPUTED_VALUE"""),"○出場")</f>
        <v>○出場</v>
      </c>
      <c r="H41" s="5">
        <f>IFERROR(__xludf.DUMMYFUNCTION("""COMPUTED_VALUE"""),519531.0)</f>
        <v>519531</v>
      </c>
      <c r="I41" s="5" t="str">
        <f>IFERROR(__xludf.DUMMYFUNCTION("""COMPUTED_VALUE"""),"○参加する")</f>
        <v>○参加する</v>
      </c>
      <c r="J41" s="5"/>
      <c r="K41" s="12">
        <f t="shared" si="2"/>
        <v>1</v>
      </c>
    </row>
    <row r="42" ht="19.5" customHeight="1">
      <c r="A42" s="5">
        <f>IFERROR(__xludf.DUMMYFUNCTION("""COMPUTED_VALUE"""),131702.0)</f>
        <v>131702</v>
      </c>
      <c r="B42" s="5" t="str">
        <f>IFERROR(__xludf.DUMMYFUNCTION("""COMPUTED_VALUE"""),"原総吾")</f>
        <v>原総吾</v>
      </c>
      <c r="C42" s="5" t="str">
        <f>IFERROR(__xludf.DUMMYFUNCTION("""COMPUTED_VALUE"""),"はらそうご")</f>
        <v>はらそうご</v>
      </c>
      <c r="D42" s="5">
        <f>IFERROR(__xludf.DUMMYFUNCTION("""COMPUTED_VALUE"""),3.0)</f>
        <v>3</v>
      </c>
      <c r="E42" s="5" t="str">
        <f>IFERROR(__xludf.DUMMYFUNCTION("""COMPUTED_VALUE"""),"男")</f>
        <v>男</v>
      </c>
      <c r="F42" s="5" t="str">
        <f>IFERROR(__xludf.DUMMYFUNCTION("""COMPUTED_VALUE"""),"MUA")</f>
        <v>MUA</v>
      </c>
      <c r="G42" s="5" t="str">
        <f>IFERROR(__xludf.DUMMYFUNCTION("""COMPUTED_VALUE"""),"○出場")</f>
        <v>○出場</v>
      </c>
      <c r="H42" s="5">
        <f>IFERROR(__xludf.DUMMYFUNCTION("""COMPUTED_VALUE"""),519535.0)</f>
        <v>519535</v>
      </c>
      <c r="I42" s="5" t="str">
        <f>IFERROR(__xludf.DUMMYFUNCTION("""COMPUTED_VALUE"""),"○参加する")</f>
        <v>○参加する</v>
      </c>
      <c r="J42" s="5"/>
      <c r="K42" s="12">
        <f t="shared" si="2"/>
        <v>1</v>
      </c>
    </row>
    <row r="43" ht="19.5" customHeight="1">
      <c r="A43" s="5">
        <f>IFERROR(__xludf.DUMMYFUNCTION("""COMPUTED_VALUE"""),131703.0)</f>
        <v>131703</v>
      </c>
      <c r="B43" s="5" t="str">
        <f>IFERROR(__xludf.DUMMYFUNCTION("""COMPUTED_VALUE"""),"市川優人")</f>
        <v>市川優人</v>
      </c>
      <c r="C43" s="5" t="str">
        <f>IFERROR(__xludf.DUMMYFUNCTION("""COMPUTED_VALUE"""),"いちかわゆうと")</f>
        <v>いちかわゆうと</v>
      </c>
      <c r="D43" s="5">
        <f>IFERROR(__xludf.DUMMYFUNCTION("""COMPUTED_VALUE"""),3.0)</f>
        <v>3</v>
      </c>
      <c r="E43" s="5" t="str">
        <f>IFERROR(__xludf.DUMMYFUNCTION("""COMPUTED_VALUE"""),"男")</f>
        <v>男</v>
      </c>
      <c r="F43" s="5" t="str">
        <f>IFERROR(__xludf.DUMMYFUNCTION("""COMPUTED_VALUE"""),"MUA")</f>
        <v>MUA</v>
      </c>
      <c r="G43" s="5" t="str">
        <f>IFERROR(__xludf.DUMMYFUNCTION("""COMPUTED_VALUE"""),"○出場")</f>
        <v>○出場</v>
      </c>
      <c r="H43" s="5">
        <f>IFERROR(__xludf.DUMMYFUNCTION("""COMPUTED_VALUE"""),519515.0)</f>
        <v>519515</v>
      </c>
      <c r="I43" s="5" t="str">
        <f>IFERROR(__xludf.DUMMYFUNCTION("""COMPUTED_VALUE"""),"○参加する")</f>
        <v>○参加する</v>
      </c>
      <c r="J43" s="5"/>
      <c r="K43" s="12">
        <f t="shared" si="2"/>
        <v>1</v>
      </c>
    </row>
    <row r="44" ht="19.5" customHeight="1">
      <c r="A44" s="5">
        <f>IFERROR(__xludf.DUMMYFUNCTION("""COMPUTED_VALUE"""),131704.0)</f>
        <v>131704</v>
      </c>
      <c r="B44" s="5" t="str">
        <f>IFERROR(__xludf.DUMMYFUNCTION("""COMPUTED_VALUE"""),"藤掛凜大")</f>
        <v>藤掛凜大</v>
      </c>
      <c r="C44" s="5" t="str">
        <f>IFERROR(__xludf.DUMMYFUNCTION("""COMPUTED_VALUE"""),"ふじかけりんた")</f>
        <v>ふじかけりんた</v>
      </c>
      <c r="D44" s="5">
        <f>IFERROR(__xludf.DUMMYFUNCTION("""COMPUTED_VALUE"""),3.0)</f>
        <v>3</v>
      </c>
      <c r="E44" s="5" t="str">
        <f>IFERROR(__xludf.DUMMYFUNCTION("""COMPUTED_VALUE"""),"男")</f>
        <v>男</v>
      </c>
      <c r="F44" s="5" t="str">
        <f>IFERROR(__xludf.DUMMYFUNCTION("""COMPUTED_VALUE"""),"MUA")</f>
        <v>MUA</v>
      </c>
      <c r="G44" s="5" t="str">
        <f>IFERROR(__xludf.DUMMYFUNCTION("""COMPUTED_VALUE"""),"○出場")</f>
        <v>○出場</v>
      </c>
      <c r="H44" s="5">
        <f>IFERROR(__xludf.DUMMYFUNCTION("""COMPUTED_VALUE"""),519538.0)</f>
        <v>519538</v>
      </c>
      <c r="I44" s="5" t="str">
        <f>IFERROR(__xludf.DUMMYFUNCTION("""COMPUTED_VALUE"""),"×参加しない")</f>
        <v>×参加しない</v>
      </c>
      <c r="J44" s="5"/>
      <c r="K44" s="12">
        <f t="shared" si="2"/>
        <v>1</v>
      </c>
    </row>
    <row r="45" ht="19.5" customHeight="1">
      <c r="A45" s="5">
        <f>IFERROR(__xludf.DUMMYFUNCTION("""COMPUTED_VALUE"""),131707.0)</f>
        <v>131707</v>
      </c>
      <c r="B45" s="5" t="str">
        <f>IFERROR(__xludf.DUMMYFUNCTION("""COMPUTED_VALUE"""),"伊東京香")</f>
        <v>伊東京香</v>
      </c>
      <c r="C45" s="5" t="str">
        <f>IFERROR(__xludf.DUMMYFUNCTION("""COMPUTED_VALUE"""),"いとうきょうか")</f>
        <v>いとうきょうか</v>
      </c>
      <c r="D45" s="5">
        <f>IFERROR(__xludf.DUMMYFUNCTION("""COMPUTED_VALUE"""),3.0)</f>
        <v>3</v>
      </c>
      <c r="E45" s="5" t="str">
        <f>IFERROR(__xludf.DUMMYFUNCTION("""COMPUTED_VALUE"""),"女")</f>
        <v>女</v>
      </c>
      <c r="F45" s="5" t="str">
        <f>IFERROR(__xludf.DUMMYFUNCTION("""COMPUTED_VALUE"""),"WUA")</f>
        <v>WUA</v>
      </c>
      <c r="G45" s="5" t="str">
        <f>IFERROR(__xludf.DUMMYFUNCTION("""COMPUTED_VALUE"""),"○出場")</f>
        <v>○出場</v>
      </c>
      <c r="H45" s="5">
        <f>IFERROR(__xludf.DUMMYFUNCTION("""COMPUTED_VALUE"""),519516.0)</f>
        <v>519516</v>
      </c>
      <c r="I45" s="5" t="str">
        <f>IFERROR(__xludf.DUMMYFUNCTION("""COMPUTED_VALUE"""),"○参加する")</f>
        <v>○参加する</v>
      </c>
      <c r="J45" s="5"/>
      <c r="K45" s="12">
        <f t="shared" si="2"/>
        <v>1</v>
      </c>
    </row>
    <row r="46" ht="19.5" customHeight="1">
      <c r="A46" s="5">
        <f>IFERROR(__xludf.DUMMYFUNCTION("""COMPUTED_VALUE"""),131716.0)</f>
        <v>131716</v>
      </c>
      <c r="B46" s="5" t="str">
        <f>IFERROR(__xludf.DUMMYFUNCTION("""COMPUTED_VALUE"""),"遠藤颯汰")</f>
        <v>遠藤颯汰</v>
      </c>
      <c r="C46" s="5" t="str">
        <f>IFERROR(__xludf.DUMMYFUNCTION("""COMPUTED_VALUE"""),"えんどうそうた")</f>
        <v>えんどうそうた</v>
      </c>
      <c r="D46" s="5">
        <f>IFERROR(__xludf.DUMMYFUNCTION("""COMPUTED_VALUE"""),3.0)</f>
        <v>3</v>
      </c>
      <c r="E46" s="5" t="str">
        <f>IFERROR(__xludf.DUMMYFUNCTION("""COMPUTED_VALUE"""),"男")</f>
        <v>男</v>
      </c>
      <c r="F46" s="5" t="str">
        <f>IFERROR(__xludf.DUMMYFUNCTION("""COMPUTED_VALUE"""),"MUA")</f>
        <v>MUA</v>
      </c>
      <c r="G46" s="5" t="str">
        <f>IFERROR(__xludf.DUMMYFUNCTION("""COMPUTED_VALUE"""),"○出場")</f>
        <v>○出場</v>
      </c>
      <c r="H46" s="5">
        <f>IFERROR(__xludf.DUMMYFUNCTION("""COMPUTED_VALUE"""),519520.0)</f>
        <v>519520</v>
      </c>
      <c r="I46" s="5" t="str">
        <f>IFERROR(__xludf.DUMMYFUNCTION("""COMPUTED_VALUE"""),"○参加する")</f>
        <v>○参加する</v>
      </c>
      <c r="J46" s="5"/>
      <c r="K46" s="12">
        <f t="shared" si="2"/>
        <v>1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1106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6</v>
      </c>
      <c r="E4" s="7">
        <f t="shared" ref="E4:E8" si="1">C4*D4</f>
        <v>51000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2</v>
      </c>
      <c r="E5" s="7">
        <f t="shared" si="1"/>
        <v>16000</v>
      </c>
    </row>
    <row r="6" ht="19.5" customHeight="1">
      <c r="A6" s="2" t="s">
        <v>9</v>
      </c>
      <c r="B6" s="4"/>
      <c r="C6" s="7">
        <v>32700.0</v>
      </c>
      <c r="D6" s="5">
        <f>D4+D5</f>
        <v>8</v>
      </c>
      <c r="E6" s="7">
        <f t="shared" si="1"/>
        <v>261600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0</v>
      </c>
      <c r="E7" s="7">
        <f t="shared" si="1"/>
        <v>0</v>
      </c>
    </row>
    <row r="8" ht="19.5" customHeight="1">
      <c r="A8" s="2" t="s">
        <v>11</v>
      </c>
      <c r="B8" s="4"/>
      <c r="C8" s="7">
        <v>500.0</v>
      </c>
      <c r="D8" s="5">
        <f>D4-COUNT(H14:H201)</f>
        <v>2</v>
      </c>
      <c r="E8" s="7">
        <f t="shared" si="1"/>
        <v>1000</v>
      </c>
    </row>
    <row r="9" ht="19.5" customHeight="1">
      <c r="A9" s="9"/>
      <c r="B9" s="9"/>
      <c r="C9" s="9"/>
      <c r="D9" s="10" t="s">
        <v>5</v>
      </c>
      <c r="E9" s="11">
        <f>SUM(E4:E8)</f>
        <v>329600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IFERROR(__xludf.DUMMYFUNCTION("FILTER('個人別エントリー'!C2:L1018,'個人別エントリー'!B2:B1018=A1)"),331901.0)</f>
        <v>331901</v>
      </c>
      <c r="B14" s="5" t="str">
        <f>IFERROR(__xludf.DUMMYFUNCTION("""COMPUTED_VALUE"""),"高橋和々花")</f>
        <v>高橋和々花</v>
      </c>
      <c r="C14" s="5" t="str">
        <f>IFERROR(__xludf.DUMMYFUNCTION("""COMPUTED_VALUE"""),"たかはしななは")</f>
        <v>たかはしななは</v>
      </c>
      <c r="D14" s="5">
        <f>IFERROR(__xludf.DUMMYFUNCTION("""COMPUTED_VALUE"""),1.0)</f>
        <v>1</v>
      </c>
      <c r="E14" s="5" t="str">
        <f>IFERROR(__xludf.DUMMYFUNCTION("""COMPUTED_VALUE"""),"女")</f>
        <v>女</v>
      </c>
      <c r="F14" s="5" t="str">
        <f>IFERROR(__xludf.DUMMYFUNCTION("""COMPUTED_VALUE"""),"WUF")</f>
        <v>WUF</v>
      </c>
      <c r="G14" s="5" t="str">
        <f>IFERROR(__xludf.DUMMYFUNCTION("""COMPUTED_VALUE"""),"○出場")</f>
        <v>○出場</v>
      </c>
      <c r="H14" s="5"/>
      <c r="I14" s="5" t="str">
        <f>IFERROR(__xludf.DUMMYFUNCTION("""COMPUTED_VALUE"""),"○参加する")</f>
        <v>○参加する</v>
      </c>
      <c r="J14" s="5"/>
      <c r="K14" s="12">
        <f t="shared" ref="K14:K201" si="2">IF(AND(OR(F14="×欠場",F14=""),OR(G14="×欠場",G14="")),0,1)</f>
        <v>1</v>
      </c>
      <c r="M14" s="5" t="str">
        <f>IFERROR(__xludf.DUMMYFUNCTION("FILTER('リレー内容'!$C$2:$K$51,'リレー内容'!$B$2:$B$51=A1)"),"×欠場")</f>
        <v>×欠場</v>
      </c>
      <c r="N14" s="5" t="str">
        <f>IFERROR(__xludf.DUMMYFUNCTION("""COMPUTED_VALUE"""),"×欠場")</f>
        <v>×欠場</v>
      </c>
      <c r="O14" s="5">
        <f>IFERROR(__xludf.DUMMYFUNCTION("""COMPUTED_VALUE"""),0.0)</f>
        <v>0</v>
      </c>
      <c r="P14" s="5">
        <f>IFERROR(__xludf.DUMMYFUNCTION("""COMPUTED_VALUE"""),1.0)</f>
        <v>1</v>
      </c>
      <c r="Q14" s="5">
        <f>IFERROR(__xludf.DUMMYFUNCTION("""COMPUTED_VALUE"""),0.0)</f>
        <v>0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IFERROR(__xludf.DUMMYFUNCTION("""COMPUTED_VALUE"""),1.0)</f>
        <v>1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IFERROR(__xludf.DUMMYFUNCTION("""COMPUTED_VALUE"""),331902.0)</f>
        <v>331902</v>
      </c>
      <c r="B15" s="5" t="str">
        <f>IFERROR(__xludf.DUMMYFUNCTION("""COMPUTED_VALUE"""),"林優奈")</f>
        <v>林優奈</v>
      </c>
      <c r="C15" s="5" t="str">
        <f>IFERROR(__xludf.DUMMYFUNCTION("""COMPUTED_VALUE"""),"はなしゆうな")</f>
        <v>はなしゆうな</v>
      </c>
      <c r="D15" s="5">
        <f>IFERROR(__xludf.DUMMYFUNCTION("""COMPUTED_VALUE"""),1.0)</f>
        <v>1</v>
      </c>
      <c r="E15" s="5" t="str">
        <f>IFERROR(__xludf.DUMMYFUNCTION("""COMPUTED_VALUE"""),"女")</f>
        <v>女</v>
      </c>
      <c r="F15" s="5" t="str">
        <f>IFERROR(__xludf.DUMMYFUNCTION("""COMPUTED_VALUE"""),"×欠場")</f>
        <v>×欠場</v>
      </c>
      <c r="G15" s="5" t="str">
        <f>IFERROR(__xludf.DUMMYFUNCTION("""COMPUTED_VALUE"""),"×欠場")</f>
        <v>×欠場</v>
      </c>
      <c r="H15" s="5"/>
      <c r="I15" s="5" t="str">
        <f>IFERROR(__xludf.DUMMYFUNCTION("""COMPUTED_VALUE"""),"×参加しない")</f>
        <v>×参加しない</v>
      </c>
      <c r="J15" s="5"/>
      <c r="K15" s="12">
        <f t="shared" si="2"/>
        <v>0</v>
      </c>
    </row>
    <row r="16" ht="19.5" customHeight="1">
      <c r="A16" s="5">
        <f>IFERROR(__xludf.DUMMYFUNCTION("""COMPUTED_VALUE"""),331903.0)</f>
        <v>331903</v>
      </c>
      <c r="B16" s="5" t="str">
        <f>IFERROR(__xludf.DUMMYFUNCTION("""COMPUTED_VALUE"""),"矢板橋秋香")</f>
        <v>矢板橋秋香</v>
      </c>
      <c r="C16" s="5" t="str">
        <f>IFERROR(__xludf.DUMMYFUNCTION("""COMPUTED_VALUE"""),"やいたばししゅうか")</f>
        <v>やいたばししゅうか</v>
      </c>
      <c r="D16" s="5">
        <f>IFERROR(__xludf.DUMMYFUNCTION("""COMPUTED_VALUE"""),1.0)</f>
        <v>1</v>
      </c>
      <c r="E16" s="5" t="str">
        <f>IFERROR(__xludf.DUMMYFUNCTION("""COMPUTED_VALUE"""),"女")</f>
        <v>女</v>
      </c>
      <c r="F16" s="5" t="str">
        <f>IFERROR(__xludf.DUMMYFUNCTION("""COMPUTED_VALUE"""),"WUF")</f>
        <v>WUF</v>
      </c>
      <c r="G16" s="5" t="str">
        <f>IFERROR(__xludf.DUMMYFUNCTION("""COMPUTED_VALUE"""),"○出場")</f>
        <v>○出場</v>
      </c>
      <c r="H16" s="5">
        <f>IFERROR(__xludf.DUMMYFUNCTION("""COMPUTED_VALUE"""),270228.0)</f>
        <v>270228</v>
      </c>
      <c r="I16" s="5" t="str">
        <f>IFERROR(__xludf.DUMMYFUNCTION("""COMPUTED_VALUE"""),"○参加する")</f>
        <v>○参加する</v>
      </c>
      <c r="J16" s="5"/>
      <c r="K16" s="12">
        <f t="shared" si="2"/>
        <v>1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>
        <f>IFERROR(__xludf.DUMMYFUNCTION("""COMPUTED_VALUE"""),231903.0)</f>
        <v>231903</v>
      </c>
      <c r="B17" s="5" t="str">
        <f>IFERROR(__xludf.DUMMYFUNCTION("""COMPUTED_VALUE"""),"酒井なるみ")</f>
        <v>酒井なるみ</v>
      </c>
      <c r="C17" s="5" t="str">
        <f>IFERROR(__xludf.DUMMYFUNCTION("""COMPUTED_VALUE"""),"さかいなるみ")</f>
        <v>さかいなるみ</v>
      </c>
      <c r="D17" s="5">
        <f>IFERROR(__xludf.DUMMYFUNCTION("""COMPUTED_VALUE"""),2.0)</f>
        <v>2</v>
      </c>
      <c r="E17" s="5" t="str">
        <f>IFERROR(__xludf.DUMMYFUNCTION("""COMPUTED_VALUE"""),"女")</f>
        <v>女</v>
      </c>
      <c r="F17" s="5" t="str">
        <f>IFERROR(__xludf.DUMMYFUNCTION("""COMPUTED_VALUE"""),"×欠場")</f>
        <v>×欠場</v>
      </c>
      <c r="G17" s="5" t="str">
        <f>IFERROR(__xludf.DUMMYFUNCTION("""COMPUTED_VALUE"""),"×欠場")</f>
        <v>×欠場</v>
      </c>
      <c r="H17" s="5"/>
      <c r="I17" s="5" t="str">
        <f>IFERROR(__xludf.DUMMYFUNCTION("""COMPUTED_VALUE"""),"×参加しない")</f>
        <v>×参加しない</v>
      </c>
      <c r="J17" s="5"/>
      <c r="K17" s="12">
        <f t="shared" si="2"/>
        <v>0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>
        <f>IFERROR(__xludf.DUMMYFUNCTION("""COMPUTED_VALUE"""),231904.0)</f>
        <v>231904</v>
      </c>
      <c r="B18" s="5" t="str">
        <f>IFERROR(__xludf.DUMMYFUNCTION("""COMPUTED_VALUE"""),"兼子照実")</f>
        <v>兼子照実</v>
      </c>
      <c r="C18" s="5" t="str">
        <f>IFERROR(__xludf.DUMMYFUNCTION("""COMPUTED_VALUE"""),"かねこてるみ")</f>
        <v>かねこてるみ</v>
      </c>
      <c r="D18" s="5">
        <f>IFERROR(__xludf.DUMMYFUNCTION("""COMPUTED_VALUE"""),2.0)</f>
        <v>2</v>
      </c>
      <c r="E18" s="5" t="str">
        <f>IFERROR(__xludf.DUMMYFUNCTION("""COMPUTED_VALUE"""),"女")</f>
        <v>女</v>
      </c>
      <c r="F18" s="5" t="str">
        <f>IFERROR(__xludf.DUMMYFUNCTION("""COMPUTED_VALUE"""),"WUA")</f>
        <v>WUA</v>
      </c>
      <c r="G18" s="5" t="str">
        <f>IFERROR(__xludf.DUMMYFUNCTION("""COMPUTED_VALUE"""),"○出場")</f>
        <v>○出場</v>
      </c>
      <c r="H18" s="5">
        <f>IFERROR(__xludf.DUMMYFUNCTION("""COMPUTED_VALUE"""),261191.0)</f>
        <v>261191</v>
      </c>
      <c r="I18" s="5" t="str">
        <f>IFERROR(__xludf.DUMMYFUNCTION("""COMPUTED_VALUE"""),"○参加する")</f>
        <v>○参加する</v>
      </c>
      <c r="J18" s="5"/>
      <c r="K18" s="12">
        <f t="shared" si="2"/>
        <v>1</v>
      </c>
      <c r="M18" s="5"/>
      <c r="N18" s="2"/>
      <c r="O18" s="4"/>
      <c r="P18" s="2"/>
      <c r="Q18" s="3"/>
      <c r="R18" s="3"/>
      <c r="S18" s="3"/>
      <c r="T18" s="3"/>
      <c r="U18" s="4"/>
    </row>
    <row r="19" ht="19.5" customHeight="1">
      <c r="A19" s="5">
        <f>IFERROR(__xludf.DUMMYFUNCTION("""COMPUTED_VALUE"""),231905.0)</f>
        <v>231905</v>
      </c>
      <c r="B19" s="5" t="str">
        <f>IFERROR(__xludf.DUMMYFUNCTION("""COMPUTED_VALUE"""),"久保田茉佑")</f>
        <v>久保田茉佑</v>
      </c>
      <c r="C19" s="5" t="str">
        <f>IFERROR(__xludf.DUMMYFUNCTION("""COMPUTED_VALUE"""),"くぼたまゆ")</f>
        <v>くぼたまゆ</v>
      </c>
      <c r="D19" s="5">
        <f>IFERROR(__xludf.DUMMYFUNCTION("""COMPUTED_VALUE"""),2.0)</f>
        <v>2</v>
      </c>
      <c r="E19" s="5" t="str">
        <f>IFERROR(__xludf.DUMMYFUNCTION("""COMPUTED_VALUE"""),"女")</f>
        <v>女</v>
      </c>
      <c r="F19" s="5" t="str">
        <f>IFERROR(__xludf.DUMMYFUNCTION("""COMPUTED_VALUE"""),"WUA")</f>
        <v>WUA</v>
      </c>
      <c r="G19" s="5" t="str">
        <f>IFERROR(__xludf.DUMMYFUNCTION("""COMPUTED_VALUE"""),"○出場")</f>
        <v>○出場</v>
      </c>
      <c r="H19" s="5"/>
      <c r="I19" s="5" t="str">
        <f>IFERROR(__xludf.DUMMYFUNCTION("""COMPUTED_VALUE"""),"○参加する")</f>
        <v>○参加する</v>
      </c>
      <c r="J19" s="5"/>
      <c r="K19" s="12">
        <f t="shared" si="2"/>
        <v>1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>
        <f>IFERROR(__xludf.DUMMYFUNCTION("""COMPUTED_VALUE"""),231907.0)</f>
        <v>231907</v>
      </c>
      <c r="B20" s="5" t="str">
        <f>IFERROR(__xludf.DUMMYFUNCTION("""COMPUTED_VALUE"""),"日比野 美幸")</f>
        <v>日比野 美幸</v>
      </c>
      <c r="C20" s="5" t="str">
        <f>IFERROR(__xludf.DUMMYFUNCTION("""COMPUTED_VALUE"""),"ひびのみゆき")</f>
        <v>ひびのみゆき</v>
      </c>
      <c r="D20" s="5">
        <f>IFERROR(__xludf.DUMMYFUNCTION("""COMPUTED_VALUE"""),2.0)</f>
        <v>2</v>
      </c>
      <c r="E20" s="5" t="str">
        <f>IFERROR(__xludf.DUMMYFUNCTION("""COMPUTED_VALUE"""),"女")</f>
        <v>女</v>
      </c>
      <c r="F20" s="5" t="str">
        <f>IFERROR(__xludf.DUMMYFUNCTION("""COMPUTED_VALUE"""),"×欠場")</f>
        <v>×欠場</v>
      </c>
      <c r="G20" s="5" t="str">
        <f>IFERROR(__xludf.DUMMYFUNCTION("""COMPUTED_VALUE"""),"×欠場")</f>
        <v>×欠場</v>
      </c>
      <c r="H20" s="5"/>
      <c r="I20" s="5" t="str">
        <f>IFERROR(__xludf.DUMMYFUNCTION("""COMPUTED_VALUE"""),"×参加しない")</f>
        <v>×参加しない</v>
      </c>
      <c r="J20" s="5"/>
      <c r="K20" s="12">
        <f t="shared" si="2"/>
        <v>0</v>
      </c>
    </row>
    <row r="21" ht="19.5" customHeight="1">
      <c r="A21" s="5">
        <f>IFERROR(__xludf.DUMMYFUNCTION("""COMPUTED_VALUE"""),131901.0)</f>
        <v>131901</v>
      </c>
      <c r="B21" s="5" t="str">
        <f>IFERROR(__xludf.DUMMYFUNCTION("""COMPUTED_VALUE"""),"秋元　珠羽")</f>
        <v>秋元　珠羽</v>
      </c>
      <c r="C21" s="5" t="str">
        <f>IFERROR(__xludf.DUMMYFUNCTION("""COMPUTED_VALUE"""),"あきもと　しゅう")</f>
        <v>あきもと　しゅう</v>
      </c>
      <c r="D21" s="5">
        <f>IFERROR(__xludf.DUMMYFUNCTION("""COMPUTED_VALUE"""),3.0)</f>
        <v>3</v>
      </c>
      <c r="E21" s="5" t="str">
        <f>IFERROR(__xludf.DUMMYFUNCTION("""COMPUTED_VALUE"""),"女")</f>
        <v>女</v>
      </c>
      <c r="F21" s="5" t="str">
        <f>IFERROR(__xludf.DUMMYFUNCTION("""COMPUTED_VALUE"""),"×欠場")</f>
        <v>×欠場</v>
      </c>
      <c r="G21" s="5" t="str">
        <f>IFERROR(__xludf.DUMMYFUNCTION("""COMPUTED_VALUE"""),"×欠場")</f>
        <v>×欠場</v>
      </c>
      <c r="H21" s="5"/>
      <c r="I21" s="5" t="str">
        <f>IFERROR(__xludf.DUMMYFUNCTION("""COMPUTED_VALUE"""),"×参加しない")</f>
        <v>×参加しない</v>
      </c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>
        <f>IFERROR(__xludf.DUMMYFUNCTION("""COMPUTED_VALUE"""),131902.0)</f>
        <v>131902</v>
      </c>
      <c r="B22" s="5" t="str">
        <f>IFERROR(__xludf.DUMMYFUNCTION("""COMPUTED_VALUE"""),"石名坂　奈緒")</f>
        <v>石名坂　奈緒</v>
      </c>
      <c r="C22" s="5" t="str">
        <f>IFERROR(__xludf.DUMMYFUNCTION("""COMPUTED_VALUE"""),"いしなざか　なお")</f>
        <v>いしなざか　なお</v>
      </c>
      <c r="D22" s="5">
        <f>IFERROR(__xludf.DUMMYFUNCTION("""COMPUTED_VALUE"""),3.0)</f>
        <v>3</v>
      </c>
      <c r="E22" s="5" t="str">
        <f>IFERROR(__xludf.DUMMYFUNCTION("""COMPUTED_VALUE"""),"女")</f>
        <v>女</v>
      </c>
      <c r="F22" s="5" t="str">
        <f>IFERROR(__xludf.DUMMYFUNCTION("""COMPUTED_VALUE"""),"×欠場")</f>
        <v>×欠場</v>
      </c>
      <c r="G22" s="5" t="str">
        <f>IFERROR(__xludf.DUMMYFUNCTION("""COMPUTED_VALUE"""),"×欠場")</f>
        <v>×欠場</v>
      </c>
      <c r="H22" s="5"/>
      <c r="I22" s="5" t="str">
        <f>IFERROR(__xludf.DUMMYFUNCTION("""COMPUTED_VALUE"""),"×参加しない")</f>
        <v>×参加しない</v>
      </c>
      <c r="J22" s="5"/>
      <c r="K22" s="12">
        <f t="shared" si="2"/>
        <v>0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>
        <f>IFERROR(__xludf.DUMMYFUNCTION("""COMPUTED_VALUE"""),131903.0)</f>
        <v>131903</v>
      </c>
      <c r="B23" s="5" t="str">
        <f>IFERROR(__xludf.DUMMYFUNCTION("""COMPUTED_VALUE"""),"平井　寿々乃")</f>
        <v>平井　寿々乃</v>
      </c>
      <c r="C23" s="5" t="str">
        <f>IFERROR(__xludf.DUMMYFUNCTION("""COMPUTED_VALUE"""),"ひらい　すずの")</f>
        <v>ひらい　すずの</v>
      </c>
      <c r="D23" s="5">
        <f>IFERROR(__xludf.DUMMYFUNCTION("""COMPUTED_VALUE"""),3.0)</f>
        <v>3</v>
      </c>
      <c r="E23" s="5" t="str">
        <f>IFERROR(__xludf.DUMMYFUNCTION("""COMPUTED_VALUE"""),"女")</f>
        <v>女</v>
      </c>
      <c r="F23" s="5" t="str">
        <f>IFERROR(__xludf.DUMMYFUNCTION("""COMPUTED_VALUE"""),"WUA")</f>
        <v>WUA</v>
      </c>
      <c r="G23" s="5" t="str">
        <f>IFERROR(__xludf.DUMMYFUNCTION("""COMPUTED_VALUE"""),"○出場")</f>
        <v>○出場</v>
      </c>
      <c r="H23" s="5">
        <f>IFERROR(__xludf.DUMMYFUNCTION("""COMPUTED_VALUE"""),257867.0)</f>
        <v>257867</v>
      </c>
      <c r="I23" s="5" t="str">
        <f>IFERROR(__xludf.DUMMYFUNCTION("""COMPUTED_VALUE"""),"○参加する")</f>
        <v>○参加する</v>
      </c>
      <c r="J23" s="5"/>
      <c r="K23" s="12">
        <f t="shared" si="2"/>
        <v>1</v>
      </c>
      <c r="M23" s="2" t="str">
        <f>IFERROR(__xludf.DUMMYFUNCTION("FILTER('オフィシャル'!$B$2:$B$65,'オフィシャル'!$A$2:$A$65=A1)"),"根本夏林")</f>
        <v>根本夏林</v>
      </c>
      <c r="N23" s="4"/>
      <c r="O23" s="2" t="str">
        <f>IFERROR(__xludf.DUMMYFUNCTION("FILTER('オフィシャル'!$C$2:$C$65,'オフィシャル'!$A$2:$A$65=A1)"),"ねもとかりん")</f>
        <v>ねもとかりん</v>
      </c>
      <c r="P23" s="3"/>
      <c r="Q23" s="5" t="str">
        <f>IFERROR(__xludf.DUMMYFUNCTION("FILTER('オフィシャル'!$D$2:$D$65,'オフィシャル'!$A$2:$A$65=A1)"),"男")</f>
        <v>男</v>
      </c>
      <c r="R23" s="2" t="str">
        <f>IFERROR(__xludf.DUMMYFUNCTION("FILTER('オフィシャル'!$E$2:$E$65,'オフィシャル'!$A$2:$A$65=A1)"),"○する")</f>
        <v>○する</v>
      </c>
      <c r="S23" s="4"/>
      <c r="T23" s="14" t="str">
        <f>IFERROR(__xludf.DUMMYFUNCTION("FILTER('オフィシャル'!$F$2:$F$65,'オフィシャル'!$A$2:$A$65=A1)"),"")</f>
        <v/>
      </c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>
        <f>IFERROR(__xludf.DUMMYFUNCTION("""COMPUTED_VALUE"""),131904.0)</f>
        <v>131904</v>
      </c>
      <c r="B24" s="5" t="str">
        <f>IFERROR(__xludf.DUMMYFUNCTION("""COMPUTED_VALUE"""),"橋村ひな")</f>
        <v>橋村ひな</v>
      </c>
      <c r="C24" s="5" t="str">
        <f>IFERROR(__xludf.DUMMYFUNCTION("""COMPUTED_VALUE"""),"はしむらひな")</f>
        <v>はしむらひな</v>
      </c>
      <c r="D24" s="5">
        <f>IFERROR(__xludf.DUMMYFUNCTION("""COMPUTED_VALUE"""),3.0)</f>
        <v>3</v>
      </c>
      <c r="E24" s="5" t="str">
        <f>IFERROR(__xludf.DUMMYFUNCTION("""COMPUTED_VALUE"""),"女")</f>
        <v>女</v>
      </c>
      <c r="F24" s="5" t="str">
        <f>IFERROR(__xludf.DUMMYFUNCTION("""COMPUTED_VALUE"""),"WUA")</f>
        <v>WUA</v>
      </c>
      <c r="G24" s="5" t="str">
        <f>IFERROR(__xludf.DUMMYFUNCTION("""COMPUTED_VALUE"""),"○出場")</f>
        <v>○出場</v>
      </c>
      <c r="H24" s="5">
        <f>IFERROR(__xludf.DUMMYFUNCTION("""COMPUTED_VALUE"""),261195.0)</f>
        <v>261195</v>
      </c>
      <c r="I24" s="5" t="str">
        <f>IFERROR(__xludf.DUMMYFUNCTION("""COMPUTED_VALUE"""),"○参加する")</f>
        <v>○参加する</v>
      </c>
      <c r="J24" s="5"/>
      <c r="K24" s="12">
        <f t="shared" si="2"/>
        <v>1</v>
      </c>
      <c r="M24" s="2" t="str">
        <f>IFERROR(__xludf.DUMMYFUNCTION("""COMPUTED_VALUE"""),"上島じゅ菜")</f>
        <v>上島じゅ菜</v>
      </c>
      <c r="N24" s="4"/>
      <c r="O24" s="2" t="str">
        <f>IFERROR(__xludf.DUMMYFUNCTION("""COMPUTED_VALUE"""),"かみしまじゅな")</f>
        <v>かみしまじゅな</v>
      </c>
      <c r="P24" s="3"/>
      <c r="Q24" s="5" t="str">
        <f>IFERROR(__xludf.DUMMYFUNCTION("""COMPUTED_VALUE"""),"女")</f>
        <v>女</v>
      </c>
      <c r="R24" s="2" t="str">
        <f>IFERROR(__xludf.DUMMYFUNCTION("""COMPUTED_VALUE"""),"○する")</f>
        <v>○する</v>
      </c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12">
        <f t="shared" si="2"/>
        <v>0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12">
        <f t="shared" si="2"/>
        <v>0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12">
        <f t="shared" si="2"/>
        <v>0</v>
      </c>
    </row>
    <row r="28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12">
        <f t="shared" si="2"/>
        <v>0</v>
      </c>
    </row>
    <row r="29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12">
        <f t="shared" si="2"/>
        <v>0</v>
      </c>
    </row>
    <row r="3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12">
        <f t="shared" si="2"/>
        <v>0</v>
      </c>
    </row>
    <row r="31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12">
        <f t="shared" si="2"/>
        <v>0</v>
      </c>
    </row>
    <row r="32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12">
        <f t="shared" si="2"/>
        <v>0</v>
      </c>
    </row>
    <row r="33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12">
        <f t="shared" si="2"/>
        <v>0</v>
      </c>
    </row>
    <row r="34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12">
        <f t="shared" si="2"/>
        <v>0</v>
      </c>
    </row>
    <row r="3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12">
        <f t="shared" si="2"/>
        <v>0</v>
      </c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12">
        <f t="shared" si="2"/>
        <v>0</v>
      </c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12">
        <f t="shared" si="2"/>
        <v>0</v>
      </c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12">
        <f t="shared" si="2"/>
        <v>0</v>
      </c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12">
        <f t="shared" si="2"/>
        <v>0</v>
      </c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12">
        <f t="shared" si="2"/>
        <v>0</v>
      </c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12">
        <f t="shared" si="2"/>
        <v>0</v>
      </c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12">
        <f t="shared" si="2"/>
        <v>0</v>
      </c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12">
        <f t="shared" si="2"/>
        <v>0</v>
      </c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12">
        <f t="shared" si="2"/>
        <v>0</v>
      </c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2">
        <f t="shared" si="2"/>
        <v>0</v>
      </c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2">
        <f t="shared" si="2"/>
        <v>0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1129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13</v>
      </c>
      <c r="E4" s="7">
        <f t="shared" ref="E4:E8" si="1">C4*D4</f>
        <v>110500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1</v>
      </c>
      <c r="E5" s="7">
        <f t="shared" si="1"/>
        <v>8000</v>
      </c>
    </row>
    <row r="6" ht="19.5" customHeight="1">
      <c r="A6" s="2" t="s">
        <v>9</v>
      </c>
      <c r="B6" s="4"/>
      <c r="C6" s="7">
        <v>32700.0</v>
      </c>
      <c r="D6" s="5">
        <f>D4+D5</f>
        <v>14</v>
      </c>
      <c r="E6" s="7">
        <f t="shared" si="1"/>
        <v>457800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1</v>
      </c>
      <c r="E7" s="7">
        <f t="shared" si="1"/>
        <v>4500</v>
      </c>
    </row>
    <row r="8" ht="19.5" customHeight="1">
      <c r="A8" s="2" t="s">
        <v>11</v>
      </c>
      <c r="B8" s="4"/>
      <c r="C8" s="7">
        <v>500.0</v>
      </c>
      <c r="D8" s="5">
        <f>D4-COUNT(H14:H201)</f>
        <v>4</v>
      </c>
      <c r="E8" s="7">
        <f t="shared" si="1"/>
        <v>2000</v>
      </c>
    </row>
    <row r="9" ht="19.5" customHeight="1">
      <c r="A9" s="9"/>
      <c r="B9" s="9"/>
      <c r="C9" s="9"/>
      <c r="D9" s="10" t="s">
        <v>5</v>
      </c>
      <c r="E9" s="11">
        <f>SUM(E4:E8)</f>
        <v>582800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IFERROR(__xludf.DUMMYFUNCTION("FILTER('個人別エントリー'!C2:L1018,'個人別エントリー'!B2:B1018=A1)"),334101.0)</f>
        <v>334101</v>
      </c>
      <c r="B14" s="5" t="str">
        <f>IFERROR(__xludf.DUMMYFUNCTION("""COMPUTED_VALUE"""),"吉田悠多")</f>
        <v>吉田悠多</v>
      </c>
      <c r="C14" s="5" t="str">
        <f>IFERROR(__xludf.DUMMYFUNCTION("""COMPUTED_VALUE"""),"よしだゆうた")</f>
        <v>よしだゆうた</v>
      </c>
      <c r="D14" s="5">
        <f>IFERROR(__xludf.DUMMYFUNCTION("""COMPUTED_VALUE"""),1.0)</f>
        <v>1</v>
      </c>
      <c r="E14" s="5" t="str">
        <f>IFERROR(__xludf.DUMMYFUNCTION("""COMPUTED_VALUE"""),"男")</f>
        <v>男</v>
      </c>
      <c r="F14" s="5" t="str">
        <f>IFERROR(__xludf.DUMMYFUNCTION("""COMPUTED_VALUE"""),"×欠場")</f>
        <v>×欠場</v>
      </c>
      <c r="G14" s="5" t="str">
        <f>IFERROR(__xludf.DUMMYFUNCTION("""COMPUTED_VALUE"""),"×欠場")</f>
        <v>×欠場</v>
      </c>
      <c r="H14" s="5"/>
      <c r="I14" s="5" t="str">
        <f>IFERROR(__xludf.DUMMYFUNCTION("""COMPUTED_VALUE"""),"×参加しない")</f>
        <v>×参加しない</v>
      </c>
      <c r="J14" s="5"/>
      <c r="K14" s="12">
        <f t="shared" ref="K14:K201" si="2">IF(AND(OR(F14="×欠場",F14=""),OR(G14="×欠場",G14="")),0,1)</f>
        <v>0</v>
      </c>
      <c r="M14" s="5" t="str">
        <f>IFERROR(__xludf.DUMMYFUNCTION("FILTER('リレー内容'!$C$2:$K$51,'リレー内容'!$B$2:$B$51=A1)"),"○出場")</f>
        <v>○出場</v>
      </c>
      <c r="N14" s="5" t="str">
        <f>IFERROR(__xludf.DUMMYFUNCTION("""COMPUTED_VALUE"""),"×欠場")</f>
        <v>×欠場</v>
      </c>
      <c r="O14" s="5">
        <f>IFERROR(__xludf.DUMMYFUNCTION("""COMPUTED_VALUE"""),3.0)</f>
        <v>3</v>
      </c>
      <c r="P14" s="5">
        <f>IFERROR(__xludf.DUMMYFUNCTION("""COMPUTED_VALUE"""),1.0)</f>
        <v>1</v>
      </c>
      <c r="Q14" s="5">
        <f>IFERROR(__xludf.DUMMYFUNCTION("""COMPUTED_VALUE"""),0.0)</f>
        <v>0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IFERROR(__xludf.DUMMYFUNCTION("""COMPUTED_VALUE"""),334102.0)</f>
        <v>334102</v>
      </c>
      <c r="B15" s="5" t="str">
        <f>IFERROR(__xludf.DUMMYFUNCTION("""COMPUTED_VALUE"""),"大野俊太朗")</f>
        <v>大野俊太朗</v>
      </c>
      <c r="C15" s="5" t="str">
        <f>IFERROR(__xludf.DUMMYFUNCTION("""COMPUTED_VALUE"""),"おおのしゅんたろう")</f>
        <v>おおのしゅんたろう</v>
      </c>
      <c r="D15" s="5">
        <f>IFERROR(__xludf.DUMMYFUNCTION("""COMPUTED_VALUE"""),1.0)</f>
        <v>1</v>
      </c>
      <c r="E15" s="5" t="str">
        <f>IFERROR(__xludf.DUMMYFUNCTION("""COMPUTED_VALUE"""),"男")</f>
        <v>男</v>
      </c>
      <c r="F15" s="5" t="str">
        <f>IFERROR(__xludf.DUMMYFUNCTION("""COMPUTED_VALUE"""),"×欠場")</f>
        <v>×欠場</v>
      </c>
      <c r="G15" s="5" t="str">
        <f>IFERROR(__xludf.DUMMYFUNCTION("""COMPUTED_VALUE"""),"×欠場")</f>
        <v>×欠場</v>
      </c>
      <c r="H15" s="5"/>
      <c r="I15" s="5" t="str">
        <f>IFERROR(__xludf.DUMMYFUNCTION("""COMPUTED_VALUE"""),"×参加しない")</f>
        <v>×参加しない</v>
      </c>
      <c r="J15" s="5"/>
      <c r="K15" s="12">
        <f t="shared" si="2"/>
        <v>0</v>
      </c>
    </row>
    <row r="16" ht="19.5" customHeight="1">
      <c r="A16" s="5">
        <f>IFERROR(__xludf.DUMMYFUNCTION("""COMPUTED_VALUE"""),334103.0)</f>
        <v>334103</v>
      </c>
      <c r="B16" s="5" t="str">
        <f>IFERROR(__xludf.DUMMYFUNCTION("""COMPUTED_VALUE"""),"唐澤怜王")</f>
        <v>唐澤怜王</v>
      </c>
      <c r="C16" s="5" t="str">
        <f>IFERROR(__xludf.DUMMYFUNCTION("""COMPUTED_VALUE"""),"からさわれお")</f>
        <v>からさわれお</v>
      </c>
      <c r="D16" s="5">
        <f>IFERROR(__xludf.DUMMYFUNCTION("""COMPUTED_VALUE"""),1.0)</f>
        <v>1</v>
      </c>
      <c r="E16" s="5" t="str">
        <f>IFERROR(__xludf.DUMMYFUNCTION("""COMPUTED_VALUE"""),"男")</f>
        <v>男</v>
      </c>
      <c r="F16" s="5" t="str">
        <f>IFERROR(__xludf.DUMMYFUNCTION("""COMPUTED_VALUE"""),"×欠場")</f>
        <v>×欠場</v>
      </c>
      <c r="G16" s="5" t="str">
        <f>IFERROR(__xludf.DUMMYFUNCTION("""COMPUTED_VALUE"""),"×欠場")</f>
        <v>×欠場</v>
      </c>
      <c r="H16" s="5"/>
      <c r="I16" s="5" t="str">
        <f>IFERROR(__xludf.DUMMYFUNCTION("""COMPUTED_VALUE"""),"×参加しない")</f>
        <v>×参加しない</v>
      </c>
      <c r="J16" s="5"/>
      <c r="K16" s="12">
        <f t="shared" si="2"/>
        <v>0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>
        <f>IFERROR(__xludf.DUMMYFUNCTION("""COMPUTED_VALUE"""),334104.0)</f>
        <v>334104</v>
      </c>
      <c r="B17" s="5" t="str">
        <f>IFERROR(__xludf.DUMMYFUNCTION("""COMPUTED_VALUE"""),"中島宗一郎")</f>
        <v>中島宗一郎</v>
      </c>
      <c r="C17" s="5" t="str">
        <f>IFERROR(__xludf.DUMMYFUNCTION("""COMPUTED_VALUE"""),"なかじまそういちろう")</f>
        <v>なかじまそういちろう</v>
      </c>
      <c r="D17" s="5">
        <f>IFERROR(__xludf.DUMMYFUNCTION("""COMPUTED_VALUE"""),1.0)</f>
        <v>1</v>
      </c>
      <c r="E17" s="5" t="str">
        <f>IFERROR(__xludf.DUMMYFUNCTION("""COMPUTED_VALUE"""),"男")</f>
        <v>男</v>
      </c>
      <c r="F17" s="5" t="str">
        <f>IFERROR(__xludf.DUMMYFUNCTION("""COMPUTED_VALUE"""),"MUF")</f>
        <v>MUF</v>
      </c>
      <c r="G17" s="5" t="str">
        <f>IFERROR(__xludf.DUMMYFUNCTION("""COMPUTED_VALUE"""),"○出場")</f>
        <v>○出場</v>
      </c>
      <c r="H17" s="5">
        <f>IFERROR(__xludf.DUMMYFUNCTION("""COMPUTED_VALUE"""),270242.0)</f>
        <v>270242</v>
      </c>
      <c r="I17" s="5" t="str">
        <f>IFERROR(__xludf.DUMMYFUNCTION("""COMPUTED_VALUE"""),"○参加する")</f>
        <v>○参加する</v>
      </c>
      <c r="J17" s="5"/>
      <c r="K17" s="12">
        <f t="shared" si="2"/>
        <v>1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>
        <f>IFERROR(__xludf.DUMMYFUNCTION("""COMPUTED_VALUE"""),334105.0)</f>
        <v>334105</v>
      </c>
      <c r="B18" s="5" t="str">
        <f>IFERROR(__xludf.DUMMYFUNCTION("""COMPUTED_VALUE"""),"古谷優多")</f>
        <v>古谷優多</v>
      </c>
      <c r="C18" s="5" t="str">
        <f>IFERROR(__xludf.DUMMYFUNCTION("""COMPUTED_VALUE"""),"ふるやゆうた")</f>
        <v>ふるやゆうた</v>
      </c>
      <c r="D18" s="5">
        <f>IFERROR(__xludf.DUMMYFUNCTION("""COMPUTED_VALUE"""),1.0)</f>
        <v>1</v>
      </c>
      <c r="E18" s="5" t="str">
        <f>IFERROR(__xludf.DUMMYFUNCTION("""COMPUTED_VALUE"""),"男")</f>
        <v>男</v>
      </c>
      <c r="F18" s="5" t="str">
        <f>IFERROR(__xludf.DUMMYFUNCTION("""COMPUTED_VALUE"""),"×欠場")</f>
        <v>×欠場</v>
      </c>
      <c r="G18" s="5" t="str">
        <f>IFERROR(__xludf.DUMMYFUNCTION("""COMPUTED_VALUE"""),"×欠場")</f>
        <v>×欠場</v>
      </c>
      <c r="H18" s="5"/>
      <c r="I18" s="5" t="str">
        <f>IFERROR(__xludf.DUMMYFUNCTION("""COMPUTED_VALUE"""),"×参加しない")</f>
        <v>×参加しない</v>
      </c>
      <c r="J18" s="5"/>
      <c r="K18" s="12">
        <f t="shared" si="2"/>
        <v>0</v>
      </c>
      <c r="M18" s="5" t="s">
        <v>28</v>
      </c>
      <c r="N18" s="2" t="s">
        <v>467</v>
      </c>
      <c r="O18" s="4"/>
      <c r="P18" s="29" t="s">
        <v>2331</v>
      </c>
      <c r="Q18" s="3"/>
      <c r="R18" s="3"/>
      <c r="S18" s="3"/>
      <c r="T18" s="3"/>
      <c r="U18" s="4"/>
    </row>
    <row r="19" ht="19.5" customHeight="1">
      <c r="A19" s="5">
        <f>IFERROR(__xludf.DUMMYFUNCTION("""COMPUTED_VALUE"""),334106.0)</f>
        <v>334106</v>
      </c>
      <c r="B19" s="5" t="str">
        <f>IFERROR(__xludf.DUMMYFUNCTION("""COMPUTED_VALUE"""),"石井裕")</f>
        <v>石井裕</v>
      </c>
      <c r="C19" s="5" t="str">
        <f>IFERROR(__xludf.DUMMYFUNCTION("""COMPUTED_VALUE"""),"いしいゆたか")</f>
        <v>いしいゆたか</v>
      </c>
      <c r="D19" s="5">
        <f>IFERROR(__xludf.DUMMYFUNCTION("""COMPUTED_VALUE"""),1.0)</f>
        <v>1</v>
      </c>
      <c r="E19" s="5" t="str">
        <f>IFERROR(__xludf.DUMMYFUNCTION("""COMPUTED_VALUE"""),"男")</f>
        <v>男</v>
      </c>
      <c r="F19" s="5" t="str">
        <f>IFERROR(__xludf.DUMMYFUNCTION("""COMPUTED_VALUE"""),"×欠場")</f>
        <v>×欠場</v>
      </c>
      <c r="G19" s="5" t="str">
        <f>IFERROR(__xludf.DUMMYFUNCTION("""COMPUTED_VALUE"""),"×欠場")</f>
        <v>×欠場</v>
      </c>
      <c r="H19" s="5"/>
      <c r="I19" s="5" t="str">
        <f>IFERROR(__xludf.DUMMYFUNCTION("""COMPUTED_VALUE"""),"×参加しない")</f>
        <v>×参加しない</v>
      </c>
      <c r="J19" s="5"/>
      <c r="K19" s="12">
        <f t="shared" si="2"/>
        <v>0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>
        <f>IFERROR(__xludf.DUMMYFUNCTION("""COMPUTED_VALUE"""),334107.0)</f>
        <v>334107</v>
      </c>
      <c r="B20" s="5" t="str">
        <f>IFERROR(__xludf.DUMMYFUNCTION("""COMPUTED_VALUE"""),"牟田悠真")</f>
        <v>牟田悠真</v>
      </c>
      <c r="C20" s="5" t="str">
        <f>IFERROR(__xludf.DUMMYFUNCTION("""COMPUTED_VALUE"""),"ムタユウマ")</f>
        <v>ムタユウマ</v>
      </c>
      <c r="D20" s="5">
        <f>IFERROR(__xludf.DUMMYFUNCTION("""COMPUTED_VALUE"""),1.0)</f>
        <v>1</v>
      </c>
      <c r="E20" s="5" t="str">
        <f>IFERROR(__xludf.DUMMYFUNCTION("""COMPUTED_VALUE"""),"男")</f>
        <v>男</v>
      </c>
      <c r="F20" s="5" t="str">
        <f>IFERROR(__xludf.DUMMYFUNCTION("""COMPUTED_VALUE"""),"MUF")</f>
        <v>MUF</v>
      </c>
      <c r="G20" s="5" t="str">
        <f>IFERROR(__xludf.DUMMYFUNCTION("""COMPUTED_VALUE"""),"○出場")</f>
        <v>○出場</v>
      </c>
      <c r="H20" s="5"/>
      <c r="I20" s="5" t="str">
        <f>IFERROR(__xludf.DUMMYFUNCTION("""COMPUTED_VALUE"""),"○参加する")</f>
        <v>○参加する</v>
      </c>
      <c r="J20" s="5"/>
      <c r="K20" s="12">
        <f t="shared" si="2"/>
        <v>1</v>
      </c>
    </row>
    <row r="21" ht="19.5" customHeight="1">
      <c r="A21" s="5">
        <f>IFERROR(__xludf.DUMMYFUNCTION("""COMPUTED_VALUE"""),334108.0)</f>
        <v>334108</v>
      </c>
      <c r="B21" s="5" t="str">
        <f>IFERROR(__xludf.DUMMYFUNCTION("""COMPUTED_VALUE"""),"藤田浩生")</f>
        <v>藤田浩生</v>
      </c>
      <c r="C21" s="5" t="str">
        <f>IFERROR(__xludf.DUMMYFUNCTION("""COMPUTED_VALUE"""),"ふじたこうき")</f>
        <v>ふじたこうき</v>
      </c>
      <c r="D21" s="5">
        <f>IFERROR(__xludf.DUMMYFUNCTION("""COMPUTED_VALUE"""),1.0)</f>
        <v>1</v>
      </c>
      <c r="E21" s="5" t="str">
        <f>IFERROR(__xludf.DUMMYFUNCTION("""COMPUTED_VALUE"""),"男")</f>
        <v>男</v>
      </c>
      <c r="F21" s="5" t="str">
        <f>IFERROR(__xludf.DUMMYFUNCTION("""COMPUTED_VALUE"""),"×欠場")</f>
        <v>×欠場</v>
      </c>
      <c r="G21" s="5" t="str">
        <f>IFERROR(__xludf.DUMMYFUNCTION("""COMPUTED_VALUE"""),"×欠場")</f>
        <v>×欠場</v>
      </c>
      <c r="H21" s="5"/>
      <c r="I21" s="5" t="str">
        <f>IFERROR(__xludf.DUMMYFUNCTION("""COMPUTED_VALUE"""),"×参加しない")</f>
        <v>×参加しない</v>
      </c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>
        <f>IFERROR(__xludf.DUMMYFUNCTION("""COMPUTED_VALUE"""),334109.0)</f>
        <v>334109</v>
      </c>
      <c r="B22" s="5" t="str">
        <f>IFERROR(__xludf.DUMMYFUNCTION("""COMPUTED_VALUE"""),"三宅峻介")</f>
        <v>三宅峻介</v>
      </c>
      <c r="C22" s="5" t="str">
        <f>IFERROR(__xludf.DUMMYFUNCTION("""COMPUTED_VALUE"""),"みやけりょうすけ")</f>
        <v>みやけりょうすけ</v>
      </c>
      <c r="D22" s="5">
        <f>IFERROR(__xludf.DUMMYFUNCTION("""COMPUTED_VALUE"""),1.0)</f>
        <v>1</v>
      </c>
      <c r="E22" s="5" t="str">
        <f>IFERROR(__xludf.DUMMYFUNCTION("""COMPUTED_VALUE"""),"男")</f>
        <v>男</v>
      </c>
      <c r="F22" s="5" t="str">
        <f>IFERROR(__xludf.DUMMYFUNCTION("""COMPUTED_VALUE"""),"MUF")</f>
        <v>MUF</v>
      </c>
      <c r="G22" s="5" t="str">
        <f>IFERROR(__xludf.DUMMYFUNCTION("""COMPUTED_VALUE"""),"○出場")</f>
        <v>○出場</v>
      </c>
      <c r="H22" s="5">
        <f>IFERROR(__xludf.DUMMYFUNCTION("""COMPUTED_VALUE"""),270243.0)</f>
        <v>270243</v>
      </c>
      <c r="I22" s="5" t="str">
        <f>IFERROR(__xludf.DUMMYFUNCTION("""COMPUTED_VALUE"""),"○参加する")</f>
        <v>○参加する</v>
      </c>
      <c r="J22" s="5"/>
      <c r="K22" s="12">
        <f t="shared" si="2"/>
        <v>1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>
        <f>IFERROR(__xludf.DUMMYFUNCTION("""COMPUTED_VALUE"""),334110.0)</f>
        <v>334110</v>
      </c>
      <c r="B23" s="5" t="str">
        <f>IFERROR(__xludf.DUMMYFUNCTION("""COMPUTED_VALUE"""),"望月佳")</f>
        <v>望月佳</v>
      </c>
      <c r="C23" s="5" t="str">
        <f>IFERROR(__xludf.DUMMYFUNCTION("""COMPUTED_VALUE"""),"もちづきかい")</f>
        <v>もちづきかい</v>
      </c>
      <c r="D23" s="5">
        <f>IFERROR(__xludf.DUMMYFUNCTION("""COMPUTED_VALUE"""),1.0)</f>
        <v>1</v>
      </c>
      <c r="E23" s="5" t="str">
        <f>IFERROR(__xludf.DUMMYFUNCTION("""COMPUTED_VALUE"""),"男")</f>
        <v>男</v>
      </c>
      <c r="F23" s="5" t="str">
        <f>IFERROR(__xludf.DUMMYFUNCTION("""COMPUTED_VALUE"""),"×欠場")</f>
        <v>×欠場</v>
      </c>
      <c r="G23" s="5" t="str">
        <f>IFERROR(__xludf.DUMMYFUNCTION("""COMPUTED_VALUE"""),"×欠場")</f>
        <v>×欠場</v>
      </c>
      <c r="H23" s="5"/>
      <c r="I23" s="5" t="str">
        <f>IFERROR(__xludf.DUMMYFUNCTION("""COMPUTED_VALUE"""),"×参加しない")</f>
        <v>×参加しない</v>
      </c>
      <c r="J23" s="5"/>
      <c r="K23" s="12">
        <f t="shared" si="2"/>
        <v>0</v>
      </c>
      <c r="M23" s="2" t="str">
        <f>IFERROR(__xludf.DUMMYFUNCTION("FILTER('オフィシャル'!$B$2:$B$65,'オフィシャル'!$A$2:$A$65=A1)"),"藤原悠平")</f>
        <v>藤原悠平</v>
      </c>
      <c r="N23" s="4"/>
      <c r="O23" s="2" t="str">
        <f>IFERROR(__xludf.DUMMYFUNCTION("FILTER('オフィシャル'!$C$2:$C$65,'オフィシャル'!$A$2:$A$65=A1)"),"ふじわらゆうへい")</f>
        <v>ふじわらゆうへい</v>
      </c>
      <c r="P23" s="3"/>
      <c r="Q23" s="5" t="str">
        <f>IFERROR(__xludf.DUMMYFUNCTION("FILTER('オフィシャル'!$D$2:$D$65,'オフィシャル'!$A$2:$A$65=A1)"),"男")</f>
        <v>男</v>
      </c>
      <c r="R23" s="2" t="str">
        <f>IFERROR(__xludf.DUMMYFUNCTION("FILTER('オフィシャル'!$E$2:$E$65,'オフィシャル'!$A$2:$A$65=A1)"),"○する")</f>
        <v>○する</v>
      </c>
      <c r="S23" s="4"/>
      <c r="T23" s="14" t="str">
        <f>IFERROR(__xludf.DUMMYFUNCTION("FILTER('オフィシャル'!$F$2:$F$65,'オフィシャル'!$A$2:$A$65=A1)"),"")</f>
        <v/>
      </c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>
        <f>IFERROR(__xludf.DUMMYFUNCTION("""COMPUTED_VALUE"""),334111.0)</f>
        <v>334111</v>
      </c>
      <c r="B24" s="5" t="str">
        <f>IFERROR(__xludf.DUMMYFUNCTION("""COMPUTED_VALUE"""),"笠松拓真")</f>
        <v>笠松拓真</v>
      </c>
      <c r="C24" s="5" t="str">
        <f>IFERROR(__xludf.DUMMYFUNCTION("""COMPUTED_VALUE"""),"かさまつたくま")</f>
        <v>かさまつたくま</v>
      </c>
      <c r="D24" s="5">
        <f>IFERROR(__xludf.DUMMYFUNCTION("""COMPUTED_VALUE"""),1.0)</f>
        <v>1</v>
      </c>
      <c r="E24" s="5" t="str">
        <f>IFERROR(__xludf.DUMMYFUNCTION("""COMPUTED_VALUE"""),"男")</f>
        <v>男</v>
      </c>
      <c r="F24" s="5" t="str">
        <f>IFERROR(__xludf.DUMMYFUNCTION("""COMPUTED_VALUE"""),"×欠場")</f>
        <v>×欠場</v>
      </c>
      <c r="G24" s="5" t="str">
        <f>IFERROR(__xludf.DUMMYFUNCTION("""COMPUTED_VALUE"""),"×欠場")</f>
        <v>×欠場</v>
      </c>
      <c r="H24" s="5"/>
      <c r="I24" s="5" t="str">
        <f>IFERROR(__xludf.DUMMYFUNCTION("""COMPUTED_VALUE"""),"×参加しない")</f>
        <v>×参加しない</v>
      </c>
      <c r="J24" s="5"/>
      <c r="K24" s="12">
        <f t="shared" si="2"/>
        <v>0</v>
      </c>
      <c r="M24" s="2"/>
      <c r="N24" s="4"/>
      <c r="O24" s="2"/>
      <c r="P24" s="3"/>
      <c r="Q24" s="5"/>
      <c r="R24" s="2"/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>
        <f>IFERROR(__xludf.DUMMYFUNCTION("""COMPUTED_VALUE"""),234101.0)</f>
        <v>234101</v>
      </c>
      <c r="B25" s="5" t="str">
        <f>IFERROR(__xludf.DUMMYFUNCTION("""COMPUTED_VALUE"""),"松井　俊輔")</f>
        <v>松井　俊輔</v>
      </c>
      <c r="C25" s="5" t="str">
        <f>IFERROR(__xludf.DUMMYFUNCTION("""COMPUTED_VALUE"""),"まつい　しゅんすけ")</f>
        <v>まつい　しゅんすけ</v>
      </c>
      <c r="D25" s="5">
        <f>IFERROR(__xludf.DUMMYFUNCTION("""COMPUTED_VALUE"""),2.0)</f>
        <v>2</v>
      </c>
      <c r="E25" s="5" t="str">
        <f>IFERROR(__xludf.DUMMYFUNCTION("""COMPUTED_VALUE"""),"男")</f>
        <v>男</v>
      </c>
      <c r="F25" s="5" t="str">
        <f>IFERROR(__xludf.DUMMYFUNCTION("""COMPUTED_VALUE"""),"MUA")</f>
        <v>MUA</v>
      </c>
      <c r="G25" s="5" t="str">
        <f>IFERROR(__xludf.DUMMYFUNCTION("""COMPUTED_VALUE"""),"○出場")</f>
        <v>○出場</v>
      </c>
      <c r="H25" s="5">
        <f>IFERROR(__xludf.DUMMYFUNCTION("""COMPUTED_VALUE"""),265838.0)</f>
        <v>265838</v>
      </c>
      <c r="I25" s="5" t="str">
        <f>IFERROR(__xludf.DUMMYFUNCTION("""COMPUTED_VALUE"""),"○参加する")</f>
        <v>○参加する</v>
      </c>
      <c r="J25" s="5"/>
      <c r="K25" s="12">
        <f t="shared" si="2"/>
        <v>1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>
        <f>IFERROR(__xludf.DUMMYFUNCTION("""COMPUTED_VALUE"""),234102.0)</f>
        <v>234102</v>
      </c>
      <c r="B26" s="5" t="str">
        <f>IFERROR(__xludf.DUMMYFUNCTION("""COMPUTED_VALUE"""),"吉田　晃平")</f>
        <v>吉田　晃平</v>
      </c>
      <c r="C26" s="5" t="str">
        <f>IFERROR(__xludf.DUMMYFUNCTION("""COMPUTED_VALUE"""),"よしだ　こうへい")</f>
        <v>よしだ　こうへい</v>
      </c>
      <c r="D26" s="5">
        <f>IFERROR(__xludf.DUMMYFUNCTION("""COMPUTED_VALUE"""),2.0)</f>
        <v>2</v>
      </c>
      <c r="E26" s="5" t="str">
        <f>IFERROR(__xludf.DUMMYFUNCTION("""COMPUTED_VALUE"""),"男")</f>
        <v>男</v>
      </c>
      <c r="F26" s="5" t="str">
        <f>IFERROR(__xludf.DUMMYFUNCTION("""COMPUTED_VALUE"""),"MUA")</f>
        <v>MUA</v>
      </c>
      <c r="G26" s="5" t="str">
        <f>IFERROR(__xludf.DUMMYFUNCTION("""COMPUTED_VALUE"""),"○出場")</f>
        <v>○出場</v>
      </c>
      <c r="H26" s="5">
        <f>IFERROR(__xludf.DUMMYFUNCTION("""COMPUTED_VALUE"""),265839.0)</f>
        <v>265839</v>
      </c>
      <c r="I26" s="5" t="str">
        <f>IFERROR(__xludf.DUMMYFUNCTION("""COMPUTED_VALUE"""),"○参加する")</f>
        <v>○参加する</v>
      </c>
      <c r="J26" s="5"/>
      <c r="K26" s="12">
        <f t="shared" si="2"/>
        <v>1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>
        <f>IFERROR(__xludf.DUMMYFUNCTION("""COMPUTED_VALUE"""),234104.0)</f>
        <v>234104</v>
      </c>
      <c r="B27" s="5" t="str">
        <f>IFERROR(__xludf.DUMMYFUNCTION("""COMPUTED_VALUE"""),"関和　小菊")</f>
        <v>関和　小菊</v>
      </c>
      <c r="C27" s="5" t="str">
        <f>IFERROR(__xludf.DUMMYFUNCTION("""COMPUTED_VALUE"""),"せきわ　こぎく")</f>
        <v>せきわ　こぎく</v>
      </c>
      <c r="D27" s="5">
        <f>IFERROR(__xludf.DUMMYFUNCTION("""COMPUTED_VALUE"""),2.0)</f>
        <v>2</v>
      </c>
      <c r="E27" s="5" t="str">
        <f>IFERROR(__xludf.DUMMYFUNCTION("""COMPUTED_VALUE"""),"女")</f>
        <v>女</v>
      </c>
      <c r="F27" s="5" t="str">
        <f>IFERROR(__xludf.DUMMYFUNCTION("""COMPUTED_VALUE"""),"WUA")</f>
        <v>WUA</v>
      </c>
      <c r="G27" s="5" t="str">
        <f>IFERROR(__xludf.DUMMYFUNCTION("""COMPUTED_VALUE"""),"○出場")</f>
        <v>○出場</v>
      </c>
      <c r="H27" s="5">
        <f>IFERROR(__xludf.DUMMYFUNCTION("""COMPUTED_VALUE"""),265851.0)</f>
        <v>265851</v>
      </c>
      <c r="I27" s="5" t="str">
        <f>IFERROR(__xludf.DUMMYFUNCTION("""COMPUTED_VALUE"""),"○参加する")</f>
        <v>○参加する</v>
      </c>
      <c r="J27" s="5"/>
      <c r="K27" s="12">
        <f t="shared" si="2"/>
        <v>1</v>
      </c>
    </row>
    <row r="28" ht="19.5" customHeight="1">
      <c r="A28" s="5">
        <f>IFERROR(__xludf.DUMMYFUNCTION("""COMPUTED_VALUE"""),234106.0)</f>
        <v>234106</v>
      </c>
      <c r="B28" s="5" t="str">
        <f>IFERROR(__xludf.DUMMYFUNCTION("""COMPUTED_VALUE"""),"丹治　聖陽")</f>
        <v>丹治　聖陽</v>
      </c>
      <c r="C28" s="5" t="str">
        <f>IFERROR(__xludf.DUMMYFUNCTION("""COMPUTED_VALUE"""),"たんじ　まさや")</f>
        <v>たんじ　まさや</v>
      </c>
      <c r="D28" s="5">
        <f>IFERROR(__xludf.DUMMYFUNCTION("""COMPUTED_VALUE"""),2.0)</f>
        <v>2</v>
      </c>
      <c r="E28" s="5" t="str">
        <f>IFERROR(__xludf.DUMMYFUNCTION("""COMPUTED_VALUE"""),"男")</f>
        <v>男</v>
      </c>
      <c r="F28" s="5" t="str">
        <f>IFERROR(__xludf.DUMMYFUNCTION("""COMPUTED_VALUE"""),"MUA")</f>
        <v>MUA</v>
      </c>
      <c r="G28" s="5" t="str">
        <f>IFERROR(__xludf.DUMMYFUNCTION("""COMPUTED_VALUE"""),"○出場")</f>
        <v>○出場</v>
      </c>
      <c r="H28" s="5">
        <f>IFERROR(__xludf.DUMMYFUNCTION("""COMPUTED_VALUE"""),270233.0)</f>
        <v>270233</v>
      </c>
      <c r="I28" s="5" t="str">
        <f>IFERROR(__xludf.DUMMYFUNCTION("""COMPUTED_VALUE"""),"○参加する")</f>
        <v>○参加する</v>
      </c>
      <c r="J28" s="5"/>
      <c r="K28" s="12">
        <f t="shared" si="2"/>
        <v>1</v>
      </c>
    </row>
    <row r="29" ht="19.5" customHeight="1">
      <c r="A29" s="5">
        <f>IFERROR(__xludf.DUMMYFUNCTION("""COMPUTED_VALUE"""),134101.0)</f>
        <v>134101</v>
      </c>
      <c r="B29" s="5" t="str">
        <f>IFERROR(__xludf.DUMMYFUNCTION("""COMPUTED_VALUE"""),"伊藤　崇仁")</f>
        <v>伊藤　崇仁</v>
      </c>
      <c r="C29" s="5" t="str">
        <f>IFERROR(__xludf.DUMMYFUNCTION("""COMPUTED_VALUE"""),"いとう　たかひと")</f>
        <v>いとう　たかひと</v>
      </c>
      <c r="D29" s="5">
        <f>IFERROR(__xludf.DUMMYFUNCTION("""COMPUTED_VALUE"""),3.0)</f>
        <v>3</v>
      </c>
      <c r="E29" s="5" t="str">
        <f>IFERROR(__xludf.DUMMYFUNCTION("""COMPUTED_VALUE"""),"男")</f>
        <v>男</v>
      </c>
      <c r="F29" s="5" t="str">
        <f>IFERROR(__xludf.DUMMYFUNCTION("""COMPUTED_VALUE"""),"MUA")</f>
        <v>MUA</v>
      </c>
      <c r="G29" s="5" t="str">
        <f>IFERROR(__xludf.DUMMYFUNCTION("""COMPUTED_VALUE"""),"○出場")</f>
        <v>○出場</v>
      </c>
      <c r="H29" s="5">
        <f>IFERROR(__xludf.DUMMYFUNCTION("""COMPUTED_VALUE"""),257851.0)</f>
        <v>257851</v>
      </c>
      <c r="I29" s="5" t="str">
        <f>IFERROR(__xludf.DUMMYFUNCTION("""COMPUTED_VALUE"""),"×参加しない")</f>
        <v>×参加しない</v>
      </c>
      <c r="J29" s="5"/>
      <c r="K29" s="12">
        <f t="shared" si="2"/>
        <v>1</v>
      </c>
    </row>
    <row r="30" ht="19.5" customHeight="1">
      <c r="A30" s="5">
        <f>IFERROR(__xludf.DUMMYFUNCTION("""COMPUTED_VALUE"""),134102.0)</f>
        <v>134102</v>
      </c>
      <c r="B30" s="5" t="str">
        <f>IFERROR(__xludf.DUMMYFUNCTION("""COMPUTED_VALUE"""),"小野寺　悠太")</f>
        <v>小野寺　悠太</v>
      </c>
      <c r="C30" s="5" t="str">
        <f>IFERROR(__xludf.DUMMYFUNCTION("""COMPUTED_VALUE"""),"おのでら　ゆうた")</f>
        <v>おのでら　ゆうた</v>
      </c>
      <c r="D30" s="5">
        <f>IFERROR(__xludf.DUMMYFUNCTION("""COMPUTED_VALUE"""),3.0)</f>
        <v>3</v>
      </c>
      <c r="E30" s="5" t="str">
        <f>IFERROR(__xludf.DUMMYFUNCTION("""COMPUTED_VALUE"""),"男")</f>
        <v>男</v>
      </c>
      <c r="F30" s="5" t="str">
        <f>IFERROR(__xludf.DUMMYFUNCTION("""COMPUTED_VALUE"""),"MUA")</f>
        <v>MUA</v>
      </c>
      <c r="G30" s="5" t="str">
        <f>IFERROR(__xludf.DUMMYFUNCTION("""COMPUTED_VALUE"""),"○出場")</f>
        <v>○出場</v>
      </c>
      <c r="H30" s="5"/>
      <c r="I30" s="5" t="str">
        <f>IFERROR(__xludf.DUMMYFUNCTION("""COMPUTED_VALUE"""),"×参加しない")</f>
        <v>×参加しない</v>
      </c>
      <c r="J30" s="5"/>
      <c r="K30" s="12">
        <f t="shared" si="2"/>
        <v>1</v>
      </c>
    </row>
    <row r="31" ht="19.5" customHeight="1">
      <c r="A31" s="5">
        <f>IFERROR(__xludf.DUMMYFUNCTION("""COMPUTED_VALUE"""),34101.0)</f>
        <v>34101</v>
      </c>
      <c r="B31" s="5" t="str">
        <f>IFERROR(__xludf.DUMMYFUNCTION("""COMPUTED_VALUE"""),"井上 拓紀")</f>
        <v>井上 拓紀</v>
      </c>
      <c r="C31" s="5" t="str">
        <f>IFERROR(__xludf.DUMMYFUNCTION("""COMPUTED_VALUE"""),"いのうえ たくのり")</f>
        <v>いのうえ たくのり</v>
      </c>
      <c r="D31" s="5">
        <f>IFERROR(__xludf.DUMMYFUNCTION("""COMPUTED_VALUE"""),4.0)</f>
        <v>4</v>
      </c>
      <c r="E31" s="5" t="str">
        <f>IFERROR(__xludf.DUMMYFUNCTION("""COMPUTED_VALUE"""),"男")</f>
        <v>男</v>
      </c>
      <c r="F31" s="5" t="str">
        <f>IFERROR(__xludf.DUMMYFUNCTION("""COMPUTED_VALUE"""),"MUA")</f>
        <v>MUA</v>
      </c>
      <c r="G31" s="5" t="str">
        <f>IFERROR(__xludf.DUMMYFUNCTION("""COMPUTED_VALUE"""),"○出場")</f>
        <v>○出場</v>
      </c>
      <c r="H31" s="5"/>
      <c r="I31" s="5" t="str">
        <f>IFERROR(__xludf.DUMMYFUNCTION("""COMPUTED_VALUE"""),"○参加する")</f>
        <v>○参加する</v>
      </c>
      <c r="J31" s="5"/>
      <c r="K31" s="12">
        <f t="shared" si="2"/>
        <v>1</v>
      </c>
    </row>
    <row r="32" ht="19.5" customHeight="1">
      <c r="A32" s="5">
        <f>IFERROR(__xludf.DUMMYFUNCTION("""COMPUTED_VALUE"""),34102.0)</f>
        <v>34102</v>
      </c>
      <c r="B32" s="5" t="str">
        <f>IFERROR(__xludf.DUMMYFUNCTION("""COMPUTED_VALUE"""),"小川 亮太郎")</f>
        <v>小川 亮太郎</v>
      </c>
      <c r="C32" s="5" t="str">
        <f>IFERROR(__xludf.DUMMYFUNCTION("""COMPUTED_VALUE"""),"おがわ りょうたろう")</f>
        <v>おがわ りょうたろう</v>
      </c>
      <c r="D32" s="5">
        <f>IFERROR(__xludf.DUMMYFUNCTION("""COMPUTED_VALUE"""),4.0)</f>
        <v>4</v>
      </c>
      <c r="E32" s="5" t="str">
        <f>IFERROR(__xludf.DUMMYFUNCTION("""COMPUTED_VALUE"""),"男")</f>
        <v>男</v>
      </c>
      <c r="F32" s="5" t="str">
        <f>IFERROR(__xludf.DUMMYFUNCTION("""COMPUTED_VALUE"""),"×欠場")</f>
        <v>×欠場</v>
      </c>
      <c r="G32" s="5" t="str">
        <f>IFERROR(__xludf.DUMMYFUNCTION("""COMPUTED_VALUE"""),"×欠場")</f>
        <v>×欠場</v>
      </c>
      <c r="H32" s="5"/>
      <c r="I32" s="5" t="str">
        <f>IFERROR(__xludf.DUMMYFUNCTION("""COMPUTED_VALUE"""),"×参加しない")</f>
        <v>×参加しない</v>
      </c>
      <c r="J32" s="5"/>
      <c r="K32" s="12">
        <f t="shared" si="2"/>
        <v>0</v>
      </c>
    </row>
    <row r="33" ht="19.5" customHeight="1">
      <c r="A33" s="5">
        <f>IFERROR(__xludf.DUMMYFUNCTION("""COMPUTED_VALUE"""),34103.0)</f>
        <v>34103</v>
      </c>
      <c r="B33" s="5" t="str">
        <f>IFERROR(__xludf.DUMMYFUNCTION("""COMPUTED_VALUE"""),"加賀 萌起")</f>
        <v>加賀 萌起</v>
      </c>
      <c r="C33" s="5" t="str">
        <f>IFERROR(__xludf.DUMMYFUNCTION("""COMPUTED_VALUE"""),"かが もえき")</f>
        <v>かが もえき</v>
      </c>
      <c r="D33" s="5">
        <f>IFERROR(__xludf.DUMMYFUNCTION("""COMPUTED_VALUE"""),4.0)</f>
        <v>4</v>
      </c>
      <c r="E33" s="5" t="str">
        <f>IFERROR(__xludf.DUMMYFUNCTION("""COMPUTED_VALUE"""),"男")</f>
        <v>男</v>
      </c>
      <c r="F33" s="5" t="str">
        <f>IFERROR(__xludf.DUMMYFUNCTION("""COMPUTED_VALUE"""),"MUA")</f>
        <v>MUA</v>
      </c>
      <c r="G33" s="5" t="str">
        <f>IFERROR(__xludf.DUMMYFUNCTION("""COMPUTED_VALUE"""),"○出場")</f>
        <v>○出場</v>
      </c>
      <c r="H33" s="5">
        <f>IFERROR(__xludf.DUMMYFUNCTION("""COMPUTED_VALUE"""),265830.0)</f>
        <v>265830</v>
      </c>
      <c r="I33" s="5" t="str">
        <f>IFERROR(__xludf.DUMMYFUNCTION("""COMPUTED_VALUE"""),"○参加する")</f>
        <v>○参加する</v>
      </c>
      <c r="J33" s="5"/>
      <c r="K33" s="12">
        <f t="shared" si="2"/>
        <v>1</v>
      </c>
    </row>
    <row r="34" ht="19.5" customHeight="1">
      <c r="A34" s="5">
        <f>IFERROR(__xludf.DUMMYFUNCTION("""COMPUTED_VALUE"""),34104.0)</f>
        <v>34104</v>
      </c>
      <c r="B34" s="5" t="str">
        <f>IFERROR(__xludf.DUMMYFUNCTION("""COMPUTED_VALUE"""),"公森 達郎")</f>
        <v>公森 達郎</v>
      </c>
      <c r="C34" s="5" t="str">
        <f>IFERROR(__xludf.DUMMYFUNCTION("""COMPUTED_VALUE"""),"きみもり たつろう")</f>
        <v>きみもり たつろう</v>
      </c>
      <c r="D34" s="5">
        <f>IFERROR(__xludf.DUMMYFUNCTION("""COMPUTED_VALUE"""),4.0)</f>
        <v>4</v>
      </c>
      <c r="E34" s="5" t="str">
        <f>IFERROR(__xludf.DUMMYFUNCTION("""COMPUTED_VALUE"""),"男")</f>
        <v>男</v>
      </c>
      <c r="F34" s="5" t="str">
        <f>IFERROR(__xludf.DUMMYFUNCTION("""COMPUTED_VALUE"""),"MUA")</f>
        <v>MUA</v>
      </c>
      <c r="G34" s="5" t="str">
        <f>IFERROR(__xludf.DUMMYFUNCTION("""COMPUTED_VALUE"""),"○出場")</f>
        <v>○出場</v>
      </c>
      <c r="H34" s="5">
        <f>IFERROR(__xludf.DUMMYFUNCTION("""COMPUTED_VALUE"""),513030.0)</f>
        <v>513030</v>
      </c>
      <c r="I34" s="5" t="str">
        <f>IFERROR(__xludf.DUMMYFUNCTION("""COMPUTED_VALUE"""),"×参加しない")</f>
        <v>×参加しない</v>
      </c>
      <c r="J34" s="5"/>
      <c r="K34" s="12">
        <f t="shared" si="2"/>
        <v>1</v>
      </c>
    </row>
    <row r="35" ht="19.5" customHeight="1">
      <c r="A35" s="5">
        <f>IFERROR(__xludf.DUMMYFUNCTION("""COMPUTED_VALUE"""),34105.0)</f>
        <v>34105</v>
      </c>
      <c r="B35" s="5" t="str">
        <f>IFERROR(__xludf.DUMMYFUNCTION("""COMPUTED_VALUE"""),"藤井 宣之")</f>
        <v>藤井 宣之</v>
      </c>
      <c r="C35" s="5" t="str">
        <f>IFERROR(__xludf.DUMMYFUNCTION("""COMPUTED_VALUE"""),"ふじいのぶゆき")</f>
        <v>ふじいのぶゆき</v>
      </c>
      <c r="D35" s="5">
        <f>IFERROR(__xludf.DUMMYFUNCTION("""COMPUTED_VALUE"""),4.0)</f>
        <v>4</v>
      </c>
      <c r="E35" s="5" t="str">
        <f>IFERROR(__xludf.DUMMYFUNCTION("""COMPUTED_VALUE"""),"男")</f>
        <v>男</v>
      </c>
      <c r="F35" s="5" t="str">
        <f>IFERROR(__xludf.DUMMYFUNCTION("""COMPUTED_VALUE"""),"MUA")</f>
        <v>MUA</v>
      </c>
      <c r="G35" s="5" t="str">
        <f>IFERROR(__xludf.DUMMYFUNCTION("""COMPUTED_VALUE"""),"○出場")</f>
        <v>○出場</v>
      </c>
      <c r="H35" s="5"/>
      <c r="I35" s="5" t="str">
        <f>IFERROR(__xludf.DUMMYFUNCTION("""COMPUTED_VALUE"""),"×参加しない")</f>
        <v>×参加しない</v>
      </c>
      <c r="J35" s="5"/>
      <c r="K35" s="12">
        <f t="shared" si="2"/>
        <v>1</v>
      </c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12">
        <f t="shared" si="2"/>
        <v>0</v>
      </c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12">
        <f t="shared" si="2"/>
        <v>0</v>
      </c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12">
        <f t="shared" si="2"/>
        <v>0</v>
      </c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12">
        <f t="shared" si="2"/>
        <v>0</v>
      </c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12">
        <f t="shared" si="2"/>
        <v>0</v>
      </c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12">
        <f t="shared" si="2"/>
        <v>0</v>
      </c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12">
        <f t="shared" si="2"/>
        <v>0</v>
      </c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12">
        <f t="shared" si="2"/>
        <v>0</v>
      </c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12">
        <f t="shared" si="2"/>
        <v>0</v>
      </c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2">
        <f t="shared" si="2"/>
        <v>0</v>
      </c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2">
        <f t="shared" si="2"/>
        <v>0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1174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5</v>
      </c>
      <c r="E4" s="7">
        <f t="shared" ref="E4:E8" si="1">C4*D4</f>
        <v>42500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2</v>
      </c>
      <c r="E5" s="7">
        <f t="shared" si="1"/>
        <v>16000</v>
      </c>
    </row>
    <row r="6" ht="19.5" customHeight="1">
      <c r="A6" s="2" t="s">
        <v>9</v>
      </c>
      <c r="B6" s="4"/>
      <c r="C6" s="7">
        <v>32700.0</v>
      </c>
      <c r="D6" s="5">
        <f>D4+D5</f>
        <v>7</v>
      </c>
      <c r="E6" s="7">
        <f t="shared" si="1"/>
        <v>228900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1</v>
      </c>
      <c r="E7" s="7">
        <f t="shared" si="1"/>
        <v>4500</v>
      </c>
    </row>
    <row r="8" ht="19.5" customHeight="1">
      <c r="A8" s="2" t="s">
        <v>11</v>
      </c>
      <c r="B8" s="4"/>
      <c r="C8" s="7">
        <v>500.0</v>
      </c>
      <c r="D8" s="5">
        <f>D4-COUNT(H14:H201)</f>
        <v>0</v>
      </c>
      <c r="E8" s="7">
        <f t="shared" si="1"/>
        <v>0</v>
      </c>
    </row>
    <row r="9" ht="19.5" customHeight="1">
      <c r="A9" s="9"/>
      <c r="B9" s="9"/>
      <c r="C9" s="9"/>
      <c r="D9" s="10" t="s">
        <v>5</v>
      </c>
      <c r="E9" s="11">
        <f>SUM(E4:E8)</f>
        <v>291900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IFERROR(__xludf.DUMMYFUNCTION("FILTER('個人別エントリー'!C2:L1018,'個人別エントリー'!B2:B1018=A1)"),335001.0)</f>
        <v>335001</v>
      </c>
      <c r="B14" s="5" t="str">
        <f>IFERROR(__xludf.DUMMYFUNCTION("""COMPUTED_VALUE"""),"今城佳子")</f>
        <v>今城佳子</v>
      </c>
      <c r="C14" s="5" t="str">
        <f>IFERROR(__xludf.DUMMYFUNCTION("""COMPUTED_VALUE"""),"いまぎよしこ")</f>
        <v>いまぎよしこ</v>
      </c>
      <c r="D14" s="5">
        <f>IFERROR(__xludf.DUMMYFUNCTION("""COMPUTED_VALUE"""),1.0)</f>
        <v>1</v>
      </c>
      <c r="E14" s="5" t="str">
        <f>IFERROR(__xludf.DUMMYFUNCTION("""COMPUTED_VALUE"""),"女")</f>
        <v>女</v>
      </c>
      <c r="F14" s="5" t="str">
        <f>IFERROR(__xludf.DUMMYFUNCTION("""COMPUTED_VALUE"""),"WUF")</f>
        <v>WUF</v>
      </c>
      <c r="G14" s="5" t="str">
        <f>IFERROR(__xludf.DUMMYFUNCTION("""COMPUTED_VALUE"""),"○出場")</f>
        <v>○出場</v>
      </c>
      <c r="H14" s="5">
        <f>IFERROR(__xludf.DUMMYFUNCTION("""COMPUTED_VALUE"""),518415.0)</f>
        <v>518415</v>
      </c>
      <c r="I14" s="5" t="str">
        <f>IFERROR(__xludf.DUMMYFUNCTION("""COMPUTED_VALUE"""),"○参加する")</f>
        <v>○参加する</v>
      </c>
      <c r="J14" s="5"/>
      <c r="K14" s="12">
        <f t="shared" ref="K14:K201" si="2">IF(AND(OR(F14="×欠場",F14=""),OR(G14="×欠場",G14="")),0,1)</f>
        <v>1</v>
      </c>
      <c r="M14" s="5" t="str">
        <f>IFERROR(__xludf.DUMMYFUNCTION("FILTER('リレー内容'!$C$2:$K$51,'リレー内容'!$B$2:$B$51=A1)"),"×欠場")</f>
        <v>×欠場</v>
      </c>
      <c r="N14" s="5" t="str">
        <f>IFERROR(__xludf.DUMMYFUNCTION("""COMPUTED_VALUE"""),"○出場")</f>
        <v>○出場</v>
      </c>
      <c r="O14" s="5">
        <f>IFERROR(__xludf.DUMMYFUNCTION("""COMPUTED_VALUE"""),0.0)</f>
        <v>0</v>
      </c>
      <c r="P14" s="5">
        <f>IFERROR(__xludf.DUMMYFUNCTION("""COMPUTED_VALUE"""),0.0)</f>
        <v>0</v>
      </c>
      <c r="Q14" s="5">
        <f>IFERROR(__xludf.DUMMYFUNCTION("""COMPUTED_VALUE"""),0.0)</f>
        <v>0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IFERROR(__xludf.DUMMYFUNCTION("""COMPUTED_VALUE"""),335002.0)</f>
        <v>335002</v>
      </c>
      <c r="B15" s="5" t="str">
        <f>IFERROR(__xludf.DUMMYFUNCTION("""COMPUTED_VALUE"""),"早川菜都")</f>
        <v>早川菜都</v>
      </c>
      <c r="C15" s="5" t="str">
        <f>IFERROR(__xludf.DUMMYFUNCTION("""COMPUTED_VALUE"""),"はやかわなつ")</f>
        <v>はやかわなつ</v>
      </c>
      <c r="D15" s="5">
        <f>IFERROR(__xludf.DUMMYFUNCTION("""COMPUTED_VALUE"""),1.0)</f>
        <v>1</v>
      </c>
      <c r="E15" s="5" t="str">
        <f>IFERROR(__xludf.DUMMYFUNCTION("""COMPUTED_VALUE"""),"女")</f>
        <v>女</v>
      </c>
      <c r="F15" s="5" t="str">
        <f>IFERROR(__xludf.DUMMYFUNCTION("""COMPUTED_VALUE"""),"×欠場")</f>
        <v>×欠場</v>
      </c>
      <c r="G15" s="5" t="str">
        <f>IFERROR(__xludf.DUMMYFUNCTION("""COMPUTED_VALUE"""),"×欠場")</f>
        <v>×欠場</v>
      </c>
      <c r="H15" s="5"/>
      <c r="I15" s="5" t="str">
        <f>IFERROR(__xludf.DUMMYFUNCTION("""COMPUTED_VALUE"""),"×参加しない")</f>
        <v>×参加しない</v>
      </c>
      <c r="J15" s="5"/>
      <c r="K15" s="12">
        <f t="shared" si="2"/>
        <v>0</v>
      </c>
    </row>
    <row r="16" ht="19.5" customHeight="1">
      <c r="A16" s="5">
        <f>IFERROR(__xludf.DUMMYFUNCTION("""COMPUTED_VALUE"""),235001.0)</f>
        <v>235001</v>
      </c>
      <c r="B16" s="5" t="str">
        <f>IFERROR(__xludf.DUMMYFUNCTION("""COMPUTED_VALUE"""),"奥田協衣")</f>
        <v>奥田協衣</v>
      </c>
      <c r="C16" s="5" t="str">
        <f>IFERROR(__xludf.DUMMYFUNCTION("""COMPUTED_VALUE"""),"おくだかなえ")</f>
        <v>おくだかなえ</v>
      </c>
      <c r="D16" s="5">
        <f>IFERROR(__xludf.DUMMYFUNCTION("""COMPUTED_VALUE"""),2.0)</f>
        <v>2</v>
      </c>
      <c r="E16" s="5" t="str">
        <f>IFERROR(__xludf.DUMMYFUNCTION("""COMPUTED_VALUE"""),"女")</f>
        <v>女</v>
      </c>
      <c r="F16" s="5" t="str">
        <f>IFERROR(__xludf.DUMMYFUNCTION("""COMPUTED_VALUE"""),"×欠場")</f>
        <v>×欠場</v>
      </c>
      <c r="G16" s="5" t="str">
        <f>IFERROR(__xludf.DUMMYFUNCTION("""COMPUTED_VALUE"""),"×欠場")</f>
        <v>×欠場</v>
      </c>
      <c r="H16" s="5"/>
      <c r="I16" s="5" t="str">
        <f>IFERROR(__xludf.DUMMYFUNCTION("""COMPUTED_VALUE"""),"×参加しない")</f>
        <v>×参加しない</v>
      </c>
      <c r="J16" s="5"/>
      <c r="K16" s="12">
        <f t="shared" si="2"/>
        <v>0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>
        <f>IFERROR(__xludf.DUMMYFUNCTION("""COMPUTED_VALUE"""),235002.0)</f>
        <v>235002</v>
      </c>
      <c r="B17" s="5" t="str">
        <f>IFERROR(__xludf.DUMMYFUNCTION("""COMPUTED_VALUE"""),"井出千尋")</f>
        <v>井出千尋</v>
      </c>
      <c r="C17" s="5" t="str">
        <f>IFERROR(__xludf.DUMMYFUNCTION("""COMPUTED_VALUE"""),"いでちひろ")</f>
        <v>いでちひろ</v>
      </c>
      <c r="D17" s="5">
        <f>IFERROR(__xludf.DUMMYFUNCTION("""COMPUTED_VALUE"""),2.0)</f>
        <v>2</v>
      </c>
      <c r="E17" s="5" t="str">
        <f>IFERROR(__xludf.DUMMYFUNCTION("""COMPUTED_VALUE"""),"女")</f>
        <v>女</v>
      </c>
      <c r="F17" s="5" t="str">
        <f>IFERROR(__xludf.DUMMYFUNCTION("""COMPUTED_VALUE"""),"WUA")</f>
        <v>WUA</v>
      </c>
      <c r="G17" s="5" t="str">
        <f>IFERROR(__xludf.DUMMYFUNCTION("""COMPUTED_VALUE"""),"○出場")</f>
        <v>○出場</v>
      </c>
      <c r="H17" s="5">
        <f>IFERROR(__xludf.DUMMYFUNCTION("""COMPUTED_VALUE"""),518377.0)</f>
        <v>518377</v>
      </c>
      <c r="I17" s="5" t="str">
        <f>IFERROR(__xludf.DUMMYFUNCTION("""COMPUTED_VALUE"""),"○参加する")</f>
        <v>○参加する</v>
      </c>
      <c r="J17" s="5"/>
      <c r="K17" s="12">
        <f t="shared" si="2"/>
        <v>1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>
        <f>IFERROR(__xludf.DUMMYFUNCTION("""COMPUTED_VALUE"""),235003.0)</f>
        <v>235003</v>
      </c>
      <c r="B18" s="5" t="str">
        <f>IFERROR(__xludf.DUMMYFUNCTION("""COMPUTED_VALUE"""),"高橋美沙")</f>
        <v>高橋美沙</v>
      </c>
      <c r="C18" s="5" t="str">
        <f>IFERROR(__xludf.DUMMYFUNCTION("""COMPUTED_VALUE"""),"たかはしみさ")</f>
        <v>たかはしみさ</v>
      </c>
      <c r="D18" s="5">
        <f>IFERROR(__xludf.DUMMYFUNCTION("""COMPUTED_VALUE"""),2.0)</f>
        <v>2</v>
      </c>
      <c r="E18" s="5" t="str">
        <f>IFERROR(__xludf.DUMMYFUNCTION("""COMPUTED_VALUE"""),"女")</f>
        <v>女</v>
      </c>
      <c r="F18" s="5" t="str">
        <f>IFERROR(__xludf.DUMMYFUNCTION("""COMPUTED_VALUE"""),"WUA")</f>
        <v>WUA</v>
      </c>
      <c r="G18" s="5" t="str">
        <f>IFERROR(__xludf.DUMMYFUNCTION("""COMPUTED_VALUE"""),"○出場")</f>
        <v>○出場</v>
      </c>
      <c r="H18" s="5">
        <f>IFERROR(__xludf.DUMMYFUNCTION("""COMPUTED_VALUE"""),518378.0)</f>
        <v>518378</v>
      </c>
      <c r="I18" s="5" t="str">
        <f>IFERROR(__xludf.DUMMYFUNCTION("""COMPUTED_VALUE"""),"×参加しない")</f>
        <v>×参加しない</v>
      </c>
      <c r="J18" s="5"/>
      <c r="K18" s="12">
        <f t="shared" si="2"/>
        <v>1</v>
      </c>
      <c r="M18" s="5" t="s">
        <v>29</v>
      </c>
      <c r="N18" s="2" t="s">
        <v>482</v>
      </c>
      <c r="O18" s="4"/>
      <c r="P18" s="2" t="s">
        <v>2323</v>
      </c>
      <c r="Q18" s="3"/>
      <c r="R18" s="3"/>
      <c r="S18" s="3"/>
      <c r="T18" s="3"/>
      <c r="U18" s="4"/>
    </row>
    <row r="19" ht="19.5" customHeight="1">
      <c r="A19" s="5">
        <f>IFERROR(__xludf.DUMMYFUNCTION("""COMPUTED_VALUE"""),235004.0)</f>
        <v>235004</v>
      </c>
      <c r="B19" s="5" t="str">
        <f>IFERROR(__xludf.DUMMYFUNCTION("""COMPUTED_VALUE"""),"高梨 史重")</f>
        <v>高梨 史重</v>
      </c>
      <c r="C19" s="5" t="str">
        <f>IFERROR(__xludf.DUMMYFUNCTION("""COMPUTED_VALUE"""),"たかなし ふみえ")</f>
        <v>たかなし ふみえ</v>
      </c>
      <c r="D19" s="5">
        <f>IFERROR(__xludf.DUMMYFUNCTION("""COMPUTED_VALUE"""),2.0)</f>
        <v>2</v>
      </c>
      <c r="E19" s="5" t="str">
        <f>IFERROR(__xludf.DUMMYFUNCTION("""COMPUTED_VALUE"""),"女")</f>
        <v>女</v>
      </c>
      <c r="F19" s="5" t="str">
        <f>IFERROR(__xludf.DUMMYFUNCTION("""COMPUTED_VALUE"""),"WUA")</f>
        <v>WUA</v>
      </c>
      <c r="G19" s="5" t="str">
        <f>IFERROR(__xludf.DUMMYFUNCTION("""COMPUTED_VALUE"""),"○出場")</f>
        <v>○出場</v>
      </c>
      <c r="H19" s="5">
        <f>IFERROR(__xludf.DUMMYFUNCTION("""COMPUTED_VALUE"""),518380.0)</f>
        <v>518380</v>
      </c>
      <c r="I19" s="5" t="str">
        <f>IFERROR(__xludf.DUMMYFUNCTION("""COMPUTED_VALUE"""),"○参加する")</f>
        <v>○参加する</v>
      </c>
      <c r="J19" s="5"/>
      <c r="K19" s="12">
        <f t="shared" si="2"/>
        <v>1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>
        <f>IFERROR(__xludf.DUMMYFUNCTION("""COMPUTED_VALUE"""),135001.0)</f>
        <v>135001</v>
      </c>
      <c r="B20" s="5" t="str">
        <f>IFERROR(__xludf.DUMMYFUNCTION("""COMPUTED_VALUE"""),"打越瑞重")</f>
        <v>打越瑞重</v>
      </c>
      <c r="C20" s="5" t="str">
        <f>IFERROR(__xludf.DUMMYFUNCTION("""COMPUTED_VALUE"""),"うちこしみづえ")</f>
        <v>うちこしみづえ</v>
      </c>
      <c r="D20" s="5">
        <f>IFERROR(__xludf.DUMMYFUNCTION("""COMPUTED_VALUE"""),3.0)</f>
        <v>3</v>
      </c>
      <c r="E20" s="5" t="str">
        <f>IFERROR(__xludf.DUMMYFUNCTION("""COMPUTED_VALUE"""),"女")</f>
        <v>女</v>
      </c>
      <c r="F20" s="5" t="str">
        <f>IFERROR(__xludf.DUMMYFUNCTION("""COMPUTED_VALUE"""),"WUA")</f>
        <v>WUA</v>
      </c>
      <c r="G20" s="5" t="str">
        <f>IFERROR(__xludf.DUMMYFUNCTION("""COMPUTED_VALUE"""),"○出場")</f>
        <v>○出場</v>
      </c>
      <c r="H20" s="5">
        <f>IFERROR(__xludf.DUMMYFUNCTION("""COMPUTED_VALUE"""),518366.0)</f>
        <v>518366</v>
      </c>
      <c r="I20" s="5" t="str">
        <f>IFERROR(__xludf.DUMMYFUNCTION("""COMPUTED_VALUE"""),"○参加する")</f>
        <v>○参加する</v>
      </c>
      <c r="J20" s="5"/>
      <c r="K20" s="12">
        <f t="shared" si="2"/>
        <v>1</v>
      </c>
    </row>
    <row r="21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12">
        <f t="shared" si="2"/>
        <v>0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2">
        <f t="shared" si="2"/>
        <v>0</v>
      </c>
      <c r="M23" s="2" t="str">
        <f>IFERROR(__xludf.DUMMYFUNCTION("FILTER('オフィシャル'!$B$2:$B$65,'オフィシャル'!$A$2:$A$65=A1)"),"中嶋律起")</f>
        <v>中嶋律起</v>
      </c>
      <c r="N23" s="4"/>
      <c r="O23" s="2" t="str">
        <f>IFERROR(__xludf.DUMMYFUNCTION("FILTER('オフィシャル'!$C$2:$C$65,'オフィシャル'!$A$2:$A$65=A1)"),"なかじま りつき")</f>
        <v>なかじま りつき</v>
      </c>
      <c r="P23" s="3"/>
      <c r="Q23" s="5" t="str">
        <f>IFERROR(__xludf.DUMMYFUNCTION("FILTER('オフィシャル'!$D$2:$D$65,'オフィシャル'!$A$2:$A$65=A1)"),"男")</f>
        <v>男</v>
      </c>
      <c r="R23" s="2" t="str">
        <f>IFERROR(__xludf.DUMMYFUNCTION("FILTER('オフィシャル'!$E$2:$E$65,'オフィシャル'!$A$2:$A$65=A1)"),"×しない")</f>
        <v>×しない</v>
      </c>
      <c r="S23" s="4"/>
      <c r="T23" s="14" t="str">
        <f>IFERROR(__xludf.DUMMYFUNCTION("FILTER('オフィシャル'!$F$2:$F$65,'オフィシャル'!$A$2:$A$65=A1)"),"")</f>
        <v/>
      </c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2">
        <f t="shared" si="2"/>
        <v>0</v>
      </c>
      <c r="M24" s="2" t="str">
        <f>IFERROR(__xludf.DUMMYFUNCTION("""COMPUTED_VALUE"""),"井上千帆里")</f>
        <v>井上千帆里</v>
      </c>
      <c r="N24" s="4"/>
      <c r="O24" s="2" t="str">
        <f>IFERROR(__xludf.DUMMYFUNCTION("""COMPUTED_VALUE"""),"いのうえ ちほり")</f>
        <v>いのうえ ちほり</v>
      </c>
      <c r="P24" s="3"/>
      <c r="Q24" s="5" t="str">
        <f>IFERROR(__xludf.DUMMYFUNCTION("""COMPUTED_VALUE"""),"女")</f>
        <v>女</v>
      </c>
      <c r="R24" s="2" t="str">
        <f>IFERROR(__xludf.DUMMYFUNCTION("""COMPUTED_VALUE"""),"×しない")</f>
        <v>×しない</v>
      </c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12">
        <f t="shared" si="2"/>
        <v>0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12">
        <f t="shared" si="2"/>
        <v>0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12">
        <f t="shared" si="2"/>
        <v>0</v>
      </c>
    </row>
    <row r="28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12">
        <f t="shared" si="2"/>
        <v>0</v>
      </c>
    </row>
    <row r="29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12">
        <f t="shared" si="2"/>
        <v>0</v>
      </c>
    </row>
    <row r="3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12">
        <f t="shared" si="2"/>
        <v>0</v>
      </c>
    </row>
    <row r="31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12">
        <f t="shared" si="2"/>
        <v>0</v>
      </c>
    </row>
    <row r="32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12">
        <f t="shared" si="2"/>
        <v>0</v>
      </c>
    </row>
    <row r="33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12">
        <f t="shared" si="2"/>
        <v>0</v>
      </c>
    </row>
    <row r="34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12">
        <f t="shared" si="2"/>
        <v>0</v>
      </c>
    </row>
    <row r="3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12">
        <f t="shared" si="2"/>
        <v>0</v>
      </c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12">
        <f t="shared" si="2"/>
        <v>0</v>
      </c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12">
        <f t="shared" si="2"/>
        <v>0</v>
      </c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12">
        <f t="shared" si="2"/>
        <v>0</v>
      </c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12">
        <f t="shared" si="2"/>
        <v>0</v>
      </c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12">
        <f t="shared" si="2"/>
        <v>0</v>
      </c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12">
        <f t="shared" si="2"/>
        <v>0</v>
      </c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12">
        <f t="shared" si="2"/>
        <v>0</v>
      </c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12">
        <f t="shared" si="2"/>
        <v>0</v>
      </c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12">
        <f t="shared" si="2"/>
        <v>0</v>
      </c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2">
        <f t="shared" si="2"/>
        <v>0</v>
      </c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2">
        <f t="shared" si="2"/>
        <v>0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1189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9</v>
      </c>
      <c r="E4" s="7">
        <f t="shared" ref="E4:E8" si="1">C4*D4</f>
        <v>76500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2</v>
      </c>
      <c r="E5" s="7">
        <f t="shared" si="1"/>
        <v>16000</v>
      </c>
    </row>
    <row r="6" ht="19.5" customHeight="1">
      <c r="A6" s="2" t="s">
        <v>9</v>
      </c>
      <c r="B6" s="4"/>
      <c r="C6" s="7">
        <v>32700.0</v>
      </c>
      <c r="D6" s="5">
        <f>D4+D5</f>
        <v>11</v>
      </c>
      <c r="E6" s="7">
        <f t="shared" si="1"/>
        <v>359700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1</v>
      </c>
      <c r="E7" s="7">
        <f t="shared" si="1"/>
        <v>4500</v>
      </c>
    </row>
    <row r="8" ht="19.5" customHeight="1">
      <c r="A8" s="2" t="s">
        <v>11</v>
      </c>
      <c r="B8" s="4"/>
      <c r="C8" s="7">
        <v>500.0</v>
      </c>
      <c r="D8" s="5">
        <f>D4-COUNT(H14:H201)</f>
        <v>0</v>
      </c>
      <c r="E8" s="7">
        <f t="shared" si="1"/>
        <v>0</v>
      </c>
    </row>
    <row r="9" ht="19.5" customHeight="1">
      <c r="A9" s="9"/>
      <c r="B9" s="9"/>
      <c r="C9" s="9"/>
      <c r="D9" s="10" t="s">
        <v>5</v>
      </c>
      <c r="E9" s="11">
        <f>SUM(E4:E8)</f>
        <v>456700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IFERROR(__xludf.DUMMYFUNCTION("FILTER('個人別エントリー'!C2:L1018,'個人別エントリー'!B2:B1018=A1)"),335601.0)</f>
        <v>335601</v>
      </c>
      <c r="B14" s="5" t="str">
        <f>IFERROR(__xludf.DUMMYFUNCTION("""COMPUTED_VALUE"""),"川中 林太郎")</f>
        <v>川中 林太郎</v>
      </c>
      <c r="C14" s="5" t="str">
        <f>IFERROR(__xludf.DUMMYFUNCTION("""COMPUTED_VALUE"""),"かわなか りんたろう")</f>
        <v>かわなか りんたろう</v>
      </c>
      <c r="D14" s="5">
        <f>IFERROR(__xludf.DUMMYFUNCTION("""COMPUTED_VALUE"""),1.0)</f>
        <v>1</v>
      </c>
      <c r="E14" s="5" t="str">
        <f>IFERROR(__xludf.DUMMYFUNCTION("""COMPUTED_VALUE"""),"男")</f>
        <v>男</v>
      </c>
      <c r="F14" s="5" t="str">
        <f>IFERROR(__xludf.DUMMYFUNCTION("""COMPUTED_VALUE"""),"×欠場")</f>
        <v>×欠場</v>
      </c>
      <c r="G14" s="5" t="str">
        <f>IFERROR(__xludf.DUMMYFUNCTION("""COMPUTED_VALUE"""),"×欠場")</f>
        <v>×欠場</v>
      </c>
      <c r="H14" s="5"/>
      <c r="I14" s="5" t="str">
        <f>IFERROR(__xludf.DUMMYFUNCTION("""COMPUTED_VALUE"""),"×参加しない")</f>
        <v>×参加しない</v>
      </c>
      <c r="J14" s="5"/>
      <c r="K14" s="12">
        <f t="shared" ref="K14:K201" si="2">IF(AND(OR(F14="×欠場",F14=""),OR(G14="×欠場",G14="")),0,1)</f>
        <v>0</v>
      </c>
      <c r="M14" s="5" t="str">
        <f>IFERROR(__xludf.DUMMYFUNCTION("FILTER('リレー内容'!$C$2:$K$51,'リレー内容'!$B$2:$B$51=A1)"),"○出場")</f>
        <v>○出場</v>
      </c>
      <c r="N14" s="5" t="str">
        <f>IFERROR(__xludf.DUMMYFUNCTION("""COMPUTED_VALUE"""),"×欠場")</f>
        <v>×欠場</v>
      </c>
      <c r="O14" s="5">
        <f>IFERROR(__xludf.DUMMYFUNCTION("""COMPUTED_VALUE"""),3.0)</f>
        <v>3</v>
      </c>
      <c r="P14" s="5">
        <f>IFERROR(__xludf.DUMMYFUNCTION("""COMPUTED_VALUE"""),0.0)</f>
        <v>0</v>
      </c>
      <c r="Q14" s="5">
        <f>IFERROR(__xludf.DUMMYFUNCTION("""COMPUTED_VALUE"""),0.0)</f>
        <v>0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IFERROR(__xludf.DUMMYFUNCTION("""COMPUTED_VALUE"""),335602.0)</f>
        <v>335602</v>
      </c>
      <c r="B15" s="5" t="str">
        <f>IFERROR(__xludf.DUMMYFUNCTION("""COMPUTED_VALUE"""),"駒木 稜也")</f>
        <v>駒木 稜也</v>
      </c>
      <c r="C15" s="5" t="str">
        <f>IFERROR(__xludf.DUMMYFUNCTION("""COMPUTED_VALUE"""),"こまきりょうや")</f>
        <v>こまきりょうや</v>
      </c>
      <c r="D15" s="5">
        <f>IFERROR(__xludf.DUMMYFUNCTION("""COMPUTED_VALUE"""),1.0)</f>
        <v>1</v>
      </c>
      <c r="E15" s="5" t="str">
        <f>IFERROR(__xludf.DUMMYFUNCTION("""COMPUTED_VALUE"""),"男")</f>
        <v>男</v>
      </c>
      <c r="F15" s="5" t="str">
        <f>IFERROR(__xludf.DUMMYFUNCTION("""COMPUTED_VALUE"""),"MUF")</f>
        <v>MUF</v>
      </c>
      <c r="G15" s="5" t="str">
        <f>IFERROR(__xludf.DUMMYFUNCTION("""COMPUTED_VALUE"""),"○出場")</f>
        <v>○出場</v>
      </c>
      <c r="H15" s="5">
        <f>IFERROR(__xludf.DUMMYFUNCTION("""COMPUTED_VALUE"""),520652.0)</f>
        <v>520652</v>
      </c>
      <c r="I15" s="5" t="str">
        <f>IFERROR(__xludf.DUMMYFUNCTION("""COMPUTED_VALUE"""),"○参加する")</f>
        <v>○参加する</v>
      </c>
      <c r="J15" s="5"/>
      <c r="K15" s="12">
        <f t="shared" si="2"/>
        <v>1</v>
      </c>
    </row>
    <row r="16" ht="19.5" customHeight="1">
      <c r="A16" s="5">
        <f>IFERROR(__xludf.DUMMYFUNCTION("""COMPUTED_VALUE"""),335603.0)</f>
        <v>335603</v>
      </c>
      <c r="B16" s="5" t="str">
        <f>IFERROR(__xludf.DUMMYFUNCTION("""COMPUTED_VALUE"""),"福森 遼")</f>
        <v>福森 遼</v>
      </c>
      <c r="C16" s="5" t="str">
        <f>IFERROR(__xludf.DUMMYFUNCTION("""COMPUTED_VALUE"""),"ふくもり　りょう")</f>
        <v>ふくもり　りょう</v>
      </c>
      <c r="D16" s="5">
        <f>IFERROR(__xludf.DUMMYFUNCTION("""COMPUTED_VALUE"""),1.0)</f>
        <v>1</v>
      </c>
      <c r="E16" s="5" t="str">
        <f>IFERROR(__xludf.DUMMYFUNCTION("""COMPUTED_VALUE"""),"男")</f>
        <v>男</v>
      </c>
      <c r="F16" s="5" t="str">
        <f>IFERROR(__xludf.DUMMYFUNCTION("""COMPUTED_VALUE"""),"×欠場")</f>
        <v>×欠場</v>
      </c>
      <c r="G16" s="5" t="str">
        <f>IFERROR(__xludf.DUMMYFUNCTION("""COMPUTED_VALUE"""),"×欠場")</f>
        <v>×欠場</v>
      </c>
      <c r="H16" s="5"/>
      <c r="I16" s="5" t="str">
        <f>IFERROR(__xludf.DUMMYFUNCTION("""COMPUTED_VALUE"""),"×参加しない")</f>
        <v>×参加しない</v>
      </c>
      <c r="J16" s="5"/>
      <c r="K16" s="12">
        <f t="shared" si="2"/>
        <v>0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>
        <f>IFERROR(__xludf.DUMMYFUNCTION("""COMPUTED_VALUE"""),335604.0)</f>
        <v>335604</v>
      </c>
      <c r="B17" s="5" t="str">
        <f>IFERROR(__xludf.DUMMYFUNCTION("""COMPUTED_VALUE"""),"川口 慎之助")</f>
        <v>川口 慎之助</v>
      </c>
      <c r="C17" s="5" t="str">
        <f>IFERROR(__xludf.DUMMYFUNCTION("""COMPUTED_VALUE"""),"かわぐちしんのすけ")</f>
        <v>かわぐちしんのすけ</v>
      </c>
      <c r="D17" s="5">
        <f>IFERROR(__xludf.DUMMYFUNCTION("""COMPUTED_VALUE"""),1.0)</f>
        <v>1</v>
      </c>
      <c r="E17" s="5" t="str">
        <f>IFERROR(__xludf.DUMMYFUNCTION("""COMPUTED_VALUE"""),"男")</f>
        <v>男</v>
      </c>
      <c r="F17" s="5" t="str">
        <f>IFERROR(__xludf.DUMMYFUNCTION("""COMPUTED_VALUE"""),"×欠場")</f>
        <v>×欠場</v>
      </c>
      <c r="G17" s="5" t="str">
        <f>IFERROR(__xludf.DUMMYFUNCTION("""COMPUTED_VALUE"""),"×欠場")</f>
        <v>×欠場</v>
      </c>
      <c r="H17" s="5"/>
      <c r="I17" s="5" t="str">
        <f>IFERROR(__xludf.DUMMYFUNCTION("""COMPUTED_VALUE"""),"×参加しない")</f>
        <v>×参加しない</v>
      </c>
      <c r="J17" s="5"/>
      <c r="K17" s="12">
        <f t="shared" si="2"/>
        <v>0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>
        <f>IFERROR(__xludf.DUMMYFUNCTION("""COMPUTED_VALUE"""),335605.0)</f>
        <v>335605</v>
      </c>
      <c r="B18" s="5" t="str">
        <f>IFERROR(__xludf.DUMMYFUNCTION("""COMPUTED_VALUE"""),"藤山湧太")</f>
        <v>藤山湧太</v>
      </c>
      <c r="C18" s="5" t="str">
        <f>IFERROR(__xludf.DUMMYFUNCTION("""COMPUTED_VALUE"""),"ふじやまゆうた")</f>
        <v>ふじやまゆうた</v>
      </c>
      <c r="D18" s="5">
        <f>IFERROR(__xludf.DUMMYFUNCTION("""COMPUTED_VALUE"""),1.0)</f>
        <v>1</v>
      </c>
      <c r="E18" s="5" t="str">
        <f>IFERROR(__xludf.DUMMYFUNCTION("""COMPUTED_VALUE"""),"男")</f>
        <v>男</v>
      </c>
      <c r="F18" s="5" t="str">
        <f>IFERROR(__xludf.DUMMYFUNCTION("""COMPUTED_VALUE"""),"×欠場")</f>
        <v>×欠場</v>
      </c>
      <c r="G18" s="5" t="str">
        <f>IFERROR(__xludf.DUMMYFUNCTION("""COMPUTED_VALUE"""),"×欠場")</f>
        <v>×欠場</v>
      </c>
      <c r="H18" s="5"/>
      <c r="I18" s="5" t="str">
        <f>IFERROR(__xludf.DUMMYFUNCTION("""COMPUTED_VALUE"""),"×参加しない")</f>
        <v>×参加しない</v>
      </c>
      <c r="J18" s="5"/>
      <c r="K18" s="12">
        <f t="shared" si="2"/>
        <v>0</v>
      </c>
      <c r="M18" s="5"/>
      <c r="N18" s="2"/>
      <c r="O18" s="4"/>
      <c r="P18" s="2"/>
      <c r="Q18" s="3"/>
      <c r="R18" s="3"/>
      <c r="S18" s="3"/>
      <c r="T18" s="3"/>
      <c r="U18" s="4"/>
    </row>
    <row r="19" ht="19.5" customHeight="1">
      <c r="A19" s="5">
        <f>IFERROR(__xludf.DUMMYFUNCTION("""COMPUTED_VALUE"""),335607.0)</f>
        <v>335607</v>
      </c>
      <c r="B19" s="5" t="str">
        <f>IFERROR(__xludf.DUMMYFUNCTION("""COMPUTED_VALUE"""),"青木昭樹")</f>
        <v>青木昭樹</v>
      </c>
      <c r="C19" s="5" t="str">
        <f>IFERROR(__xludf.DUMMYFUNCTION("""COMPUTED_VALUE"""),"あおきはるき")</f>
        <v>あおきはるき</v>
      </c>
      <c r="D19" s="5">
        <f>IFERROR(__xludf.DUMMYFUNCTION("""COMPUTED_VALUE"""),1.0)</f>
        <v>1</v>
      </c>
      <c r="E19" s="5" t="str">
        <f>IFERROR(__xludf.DUMMYFUNCTION("""COMPUTED_VALUE"""),"男")</f>
        <v>男</v>
      </c>
      <c r="F19" s="5" t="str">
        <f>IFERROR(__xludf.DUMMYFUNCTION("""COMPUTED_VALUE"""),"×欠場")</f>
        <v>×欠場</v>
      </c>
      <c r="G19" s="5" t="str">
        <f>IFERROR(__xludf.DUMMYFUNCTION("""COMPUTED_VALUE"""),"×欠場")</f>
        <v>×欠場</v>
      </c>
      <c r="H19" s="5"/>
      <c r="I19" s="5" t="str">
        <f>IFERROR(__xludf.DUMMYFUNCTION("""COMPUTED_VALUE"""),"×参加しない")</f>
        <v>×参加しない</v>
      </c>
      <c r="J19" s="5"/>
      <c r="K19" s="12">
        <f t="shared" si="2"/>
        <v>0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>
        <f>IFERROR(__xludf.DUMMYFUNCTION("""COMPUTED_VALUE"""),335608.0)</f>
        <v>335608</v>
      </c>
      <c r="B20" s="5" t="str">
        <f>IFERROR(__xludf.DUMMYFUNCTION("""COMPUTED_VALUE"""),"伊藤康介")</f>
        <v>伊藤康介</v>
      </c>
      <c r="C20" s="5" t="str">
        <f>IFERROR(__xludf.DUMMYFUNCTION("""COMPUTED_VALUE"""),"いとうこうすけ")</f>
        <v>いとうこうすけ</v>
      </c>
      <c r="D20" s="5">
        <f>IFERROR(__xludf.DUMMYFUNCTION("""COMPUTED_VALUE"""),1.0)</f>
        <v>1</v>
      </c>
      <c r="E20" s="5" t="str">
        <f>IFERROR(__xludf.DUMMYFUNCTION("""COMPUTED_VALUE"""),"男")</f>
        <v>男</v>
      </c>
      <c r="F20" s="5" t="str">
        <f>IFERROR(__xludf.DUMMYFUNCTION("""COMPUTED_VALUE"""),"MUF")</f>
        <v>MUF</v>
      </c>
      <c r="G20" s="5" t="str">
        <f>IFERROR(__xludf.DUMMYFUNCTION("""COMPUTED_VALUE"""),"○出場")</f>
        <v>○出場</v>
      </c>
      <c r="H20" s="5">
        <f>IFERROR(__xludf.DUMMYFUNCTION("""COMPUTED_VALUE"""),520653.0)</f>
        <v>520653</v>
      </c>
      <c r="I20" s="5" t="str">
        <f>IFERROR(__xludf.DUMMYFUNCTION("""COMPUTED_VALUE"""),"○参加する")</f>
        <v>○参加する</v>
      </c>
      <c r="J20" s="5"/>
      <c r="K20" s="12">
        <f t="shared" si="2"/>
        <v>1</v>
      </c>
    </row>
    <row r="21" ht="19.5" customHeight="1">
      <c r="A21" s="5">
        <f>IFERROR(__xludf.DUMMYFUNCTION("""COMPUTED_VALUE"""),335609.0)</f>
        <v>335609</v>
      </c>
      <c r="B21" s="5" t="str">
        <f>IFERROR(__xludf.DUMMYFUNCTION("""COMPUTED_VALUE"""),"西藤和貴")</f>
        <v>西藤和貴</v>
      </c>
      <c r="C21" s="5" t="str">
        <f>IFERROR(__xludf.DUMMYFUNCTION("""COMPUTED_VALUE"""),"さいとうかずき")</f>
        <v>さいとうかずき</v>
      </c>
      <c r="D21" s="5">
        <f>IFERROR(__xludf.DUMMYFUNCTION("""COMPUTED_VALUE"""),1.0)</f>
        <v>1</v>
      </c>
      <c r="E21" s="5" t="str">
        <f>IFERROR(__xludf.DUMMYFUNCTION("""COMPUTED_VALUE"""),"男")</f>
        <v>男</v>
      </c>
      <c r="F21" s="5" t="str">
        <f>IFERROR(__xludf.DUMMYFUNCTION("""COMPUTED_VALUE"""),"×欠場")</f>
        <v>×欠場</v>
      </c>
      <c r="G21" s="5" t="str">
        <f>IFERROR(__xludf.DUMMYFUNCTION("""COMPUTED_VALUE"""),"×欠場")</f>
        <v>×欠場</v>
      </c>
      <c r="H21" s="5"/>
      <c r="I21" s="5" t="str">
        <f>IFERROR(__xludf.DUMMYFUNCTION("""COMPUTED_VALUE"""),"×参加しない")</f>
        <v>×参加しない</v>
      </c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>
        <f>IFERROR(__xludf.DUMMYFUNCTION("""COMPUTED_VALUE"""),335610.0)</f>
        <v>335610</v>
      </c>
      <c r="B22" s="5" t="str">
        <f>IFERROR(__xludf.DUMMYFUNCTION("""COMPUTED_VALUE"""),"連尾　洸成")</f>
        <v>連尾　洸成</v>
      </c>
      <c r="C22" s="5" t="str">
        <f>IFERROR(__xludf.DUMMYFUNCTION("""COMPUTED_VALUE"""),"つれお　こうせい")</f>
        <v>つれお　こうせい</v>
      </c>
      <c r="D22" s="5">
        <f>IFERROR(__xludf.DUMMYFUNCTION("""COMPUTED_VALUE"""),1.0)</f>
        <v>1</v>
      </c>
      <c r="E22" s="5" t="str">
        <f>IFERROR(__xludf.DUMMYFUNCTION("""COMPUTED_VALUE"""),"男")</f>
        <v>男</v>
      </c>
      <c r="F22" s="5" t="str">
        <f>IFERROR(__xludf.DUMMYFUNCTION("""COMPUTED_VALUE"""),"×欠場")</f>
        <v>×欠場</v>
      </c>
      <c r="G22" s="5" t="str">
        <f>IFERROR(__xludf.DUMMYFUNCTION("""COMPUTED_VALUE"""),"×欠場")</f>
        <v>×欠場</v>
      </c>
      <c r="H22" s="5"/>
      <c r="I22" s="5" t="str">
        <f>IFERROR(__xludf.DUMMYFUNCTION("""COMPUTED_VALUE"""),"×参加しない")</f>
        <v>×参加しない</v>
      </c>
      <c r="J22" s="5"/>
      <c r="K22" s="12">
        <f t="shared" si="2"/>
        <v>0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>
        <f>IFERROR(__xludf.DUMMYFUNCTION("""COMPUTED_VALUE"""),335611.0)</f>
        <v>335611</v>
      </c>
      <c r="B23" s="5" t="str">
        <f>IFERROR(__xludf.DUMMYFUNCTION("""COMPUTED_VALUE"""),"秋元湧希")</f>
        <v>秋元湧希</v>
      </c>
      <c r="C23" s="5" t="str">
        <f>IFERROR(__xludf.DUMMYFUNCTION("""COMPUTED_VALUE"""),"あきもとゆうき")</f>
        <v>あきもとゆうき</v>
      </c>
      <c r="D23" s="5">
        <f>IFERROR(__xludf.DUMMYFUNCTION("""COMPUTED_VALUE"""),1.0)</f>
        <v>1</v>
      </c>
      <c r="E23" s="5" t="str">
        <f>IFERROR(__xludf.DUMMYFUNCTION("""COMPUTED_VALUE"""),"男")</f>
        <v>男</v>
      </c>
      <c r="F23" s="5" t="str">
        <f>IFERROR(__xludf.DUMMYFUNCTION("""COMPUTED_VALUE"""),"×欠場")</f>
        <v>×欠場</v>
      </c>
      <c r="G23" s="5" t="str">
        <f>IFERROR(__xludf.DUMMYFUNCTION("""COMPUTED_VALUE"""),"×欠場")</f>
        <v>×欠場</v>
      </c>
      <c r="H23" s="5"/>
      <c r="I23" s="5" t="str">
        <f>IFERROR(__xludf.DUMMYFUNCTION("""COMPUTED_VALUE"""),"×参加しない")</f>
        <v>×参加しない</v>
      </c>
      <c r="J23" s="5"/>
      <c r="K23" s="12">
        <f t="shared" si="2"/>
        <v>0</v>
      </c>
      <c r="M23" s="2" t="str">
        <f>IFERROR(__xludf.DUMMYFUNCTION("FILTER('オフィシャル'!$B$2:$B$65,'オフィシャル'!$A$2:$A$65=A1)"),"山崎嘉津人")</f>
        <v>山崎嘉津人</v>
      </c>
      <c r="N23" s="4"/>
      <c r="O23" s="2" t="str">
        <f>IFERROR(__xludf.DUMMYFUNCTION("FILTER('オフィシャル'!$C$2:$C$65,'オフィシャル'!$A$2:$A$65=A1)"),"やまざきかつと")</f>
        <v>やまざきかつと</v>
      </c>
      <c r="P23" s="3"/>
      <c r="Q23" s="5" t="str">
        <f>IFERROR(__xludf.DUMMYFUNCTION("FILTER('オフィシャル'!$D$2:$D$65,'オフィシャル'!$A$2:$A$65=A1)"),"男")</f>
        <v>男</v>
      </c>
      <c r="R23" s="2" t="str">
        <f>IFERROR(__xludf.DUMMYFUNCTION("FILTER('オフィシャル'!$E$2:$E$65,'オフィシャル'!$A$2:$A$65=A1)"),"○する")</f>
        <v>○する</v>
      </c>
      <c r="S23" s="4"/>
      <c r="T23" s="14" t="str">
        <f>IFERROR(__xludf.DUMMYFUNCTION("FILTER('オフィシャル'!$F$2:$F$65,'オフィシャル'!$A$2:$A$65=A1)"),"")</f>
        <v/>
      </c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>
        <f>IFERROR(__xludf.DUMMYFUNCTION("""COMPUTED_VALUE"""),235601.0)</f>
        <v>235601</v>
      </c>
      <c r="B24" s="5" t="str">
        <f>IFERROR(__xludf.DUMMYFUNCTION("""COMPUTED_VALUE"""),"時任 俊輔")</f>
        <v>時任 俊輔</v>
      </c>
      <c r="C24" s="5" t="str">
        <f>IFERROR(__xludf.DUMMYFUNCTION("""COMPUTED_VALUE"""),"ときとう しゅんすけ")</f>
        <v>ときとう しゅんすけ</v>
      </c>
      <c r="D24" s="5">
        <f>IFERROR(__xludf.DUMMYFUNCTION("""COMPUTED_VALUE"""),2.0)</f>
        <v>2</v>
      </c>
      <c r="E24" s="5" t="str">
        <f>IFERROR(__xludf.DUMMYFUNCTION("""COMPUTED_VALUE"""),"男")</f>
        <v>男</v>
      </c>
      <c r="F24" s="5" t="str">
        <f>IFERROR(__xludf.DUMMYFUNCTION("""COMPUTED_VALUE"""),"×欠場")</f>
        <v>×欠場</v>
      </c>
      <c r="G24" s="5" t="str">
        <f>IFERROR(__xludf.DUMMYFUNCTION("""COMPUTED_VALUE"""),"×欠場")</f>
        <v>×欠場</v>
      </c>
      <c r="H24" s="5"/>
      <c r="I24" s="5" t="str">
        <f>IFERROR(__xludf.DUMMYFUNCTION("""COMPUTED_VALUE"""),"×参加しない")</f>
        <v>×参加しない</v>
      </c>
      <c r="J24" s="5"/>
      <c r="K24" s="12">
        <f t="shared" si="2"/>
        <v>0</v>
      </c>
      <c r="M24" s="2" t="str">
        <f>IFERROR(__xludf.DUMMYFUNCTION("""COMPUTED_VALUE"""),"塚田翔太")</f>
        <v>塚田翔太</v>
      </c>
      <c r="N24" s="4"/>
      <c r="O24" s="2" t="str">
        <f>IFERROR(__xludf.DUMMYFUNCTION("""COMPUTED_VALUE"""),"つかだしょうた")</f>
        <v>つかだしょうた</v>
      </c>
      <c r="P24" s="3"/>
      <c r="Q24" s="5" t="str">
        <f>IFERROR(__xludf.DUMMYFUNCTION("""COMPUTED_VALUE"""),"男")</f>
        <v>男</v>
      </c>
      <c r="R24" s="2" t="str">
        <f>IFERROR(__xludf.DUMMYFUNCTION("""COMPUTED_VALUE"""),"○する")</f>
        <v>○する</v>
      </c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>
        <f>IFERROR(__xludf.DUMMYFUNCTION("""COMPUTED_VALUE"""),235603.0)</f>
        <v>235603</v>
      </c>
      <c r="B25" s="5" t="str">
        <f>IFERROR(__xludf.DUMMYFUNCTION("""COMPUTED_VALUE"""),"阿部 稜大")</f>
        <v>阿部 稜大</v>
      </c>
      <c r="C25" s="5" t="str">
        <f>IFERROR(__xludf.DUMMYFUNCTION("""COMPUTED_VALUE"""),"あべ りょうた")</f>
        <v>あべ りょうた</v>
      </c>
      <c r="D25" s="5">
        <f>IFERROR(__xludf.DUMMYFUNCTION("""COMPUTED_VALUE"""),2.0)</f>
        <v>2</v>
      </c>
      <c r="E25" s="5" t="str">
        <f>IFERROR(__xludf.DUMMYFUNCTION("""COMPUTED_VALUE"""),"男")</f>
        <v>男</v>
      </c>
      <c r="F25" s="5" t="str">
        <f>IFERROR(__xludf.DUMMYFUNCTION("""COMPUTED_VALUE"""),"MUA")</f>
        <v>MUA</v>
      </c>
      <c r="G25" s="5" t="str">
        <f>IFERROR(__xludf.DUMMYFUNCTION("""COMPUTED_VALUE"""),"○出場")</f>
        <v>○出場</v>
      </c>
      <c r="H25" s="5">
        <f>IFERROR(__xludf.DUMMYFUNCTION("""COMPUTED_VALUE"""),520654.0)</f>
        <v>520654</v>
      </c>
      <c r="I25" s="5" t="str">
        <f>IFERROR(__xludf.DUMMYFUNCTION("""COMPUTED_VALUE"""),"○参加する")</f>
        <v>○参加する</v>
      </c>
      <c r="J25" s="5"/>
      <c r="K25" s="12">
        <f t="shared" si="2"/>
        <v>1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>
        <f>IFERROR(__xludf.DUMMYFUNCTION("""COMPUTED_VALUE"""),235604.0)</f>
        <v>235604</v>
      </c>
      <c r="B26" s="5" t="str">
        <f>IFERROR(__xludf.DUMMYFUNCTION("""COMPUTED_VALUE"""),"永井 律")</f>
        <v>永井 律</v>
      </c>
      <c r="C26" s="5" t="str">
        <f>IFERROR(__xludf.DUMMYFUNCTION("""COMPUTED_VALUE"""),"ながい りつ")</f>
        <v>ながい りつ</v>
      </c>
      <c r="D26" s="5">
        <f>IFERROR(__xludf.DUMMYFUNCTION("""COMPUTED_VALUE"""),2.0)</f>
        <v>2</v>
      </c>
      <c r="E26" s="5" t="str">
        <f>IFERROR(__xludf.DUMMYFUNCTION("""COMPUTED_VALUE"""),"男")</f>
        <v>男</v>
      </c>
      <c r="F26" s="5" t="str">
        <f>IFERROR(__xludf.DUMMYFUNCTION("""COMPUTED_VALUE"""),"MUA")</f>
        <v>MUA</v>
      </c>
      <c r="G26" s="5" t="str">
        <f>IFERROR(__xludf.DUMMYFUNCTION("""COMPUTED_VALUE"""),"○出場")</f>
        <v>○出場</v>
      </c>
      <c r="H26" s="5">
        <f>IFERROR(__xludf.DUMMYFUNCTION("""COMPUTED_VALUE"""),520655.0)</f>
        <v>520655</v>
      </c>
      <c r="I26" s="5" t="str">
        <f>IFERROR(__xludf.DUMMYFUNCTION("""COMPUTED_VALUE"""),"○参加する")</f>
        <v>○参加する</v>
      </c>
      <c r="J26" s="5"/>
      <c r="K26" s="12">
        <f t="shared" si="2"/>
        <v>1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>
        <f>IFERROR(__xludf.DUMMYFUNCTION("""COMPUTED_VALUE"""),235605.0)</f>
        <v>235605</v>
      </c>
      <c r="B27" s="5" t="str">
        <f>IFERROR(__xludf.DUMMYFUNCTION("""COMPUTED_VALUE"""),"佐橋 大地")</f>
        <v>佐橋 大地</v>
      </c>
      <c r="C27" s="5" t="str">
        <f>IFERROR(__xludf.DUMMYFUNCTION("""COMPUTED_VALUE"""),"さはし だいち")</f>
        <v>さはし だいち</v>
      </c>
      <c r="D27" s="5">
        <f>IFERROR(__xludf.DUMMYFUNCTION("""COMPUTED_VALUE"""),2.0)</f>
        <v>2</v>
      </c>
      <c r="E27" s="5" t="str">
        <f>IFERROR(__xludf.DUMMYFUNCTION("""COMPUTED_VALUE"""),"男")</f>
        <v>男</v>
      </c>
      <c r="F27" s="5" t="str">
        <f>IFERROR(__xludf.DUMMYFUNCTION("""COMPUTED_VALUE"""),"×欠場")</f>
        <v>×欠場</v>
      </c>
      <c r="G27" s="5" t="str">
        <f>IFERROR(__xludf.DUMMYFUNCTION("""COMPUTED_VALUE"""),"×欠場")</f>
        <v>×欠場</v>
      </c>
      <c r="H27" s="5"/>
      <c r="I27" s="5" t="str">
        <f>IFERROR(__xludf.DUMMYFUNCTION("""COMPUTED_VALUE"""),"×参加しない")</f>
        <v>×参加しない</v>
      </c>
      <c r="J27" s="5"/>
      <c r="K27" s="12">
        <f t="shared" si="2"/>
        <v>0</v>
      </c>
    </row>
    <row r="28" ht="19.5" customHeight="1">
      <c r="A28" s="5">
        <f>IFERROR(__xludf.DUMMYFUNCTION("""COMPUTED_VALUE"""),235606.0)</f>
        <v>235606</v>
      </c>
      <c r="B28" s="5" t="str">
        <f>IFERROR(__xludf.DUMMYFUNCTION("""COMPUTED_VALUE"""),"中川 元気")</f>
        <v>中川 元気</v>
      </c>
      <c r="C28" s="5" t="str">
        <f>IFERROR(__xludf.DUMMYFUNCTION("""COMPUTED_VALUE"""),"なかがわ げんき")</f>
        <v>なかがわ げんき</v>
      </c>
      <c r="D28" s="5">
        <f>IFERROR(__xludf.DUMMYFUNCTION("""COMPUTED_VALUE"""),2.0)</f>
        <v>2</v>
      </c>
      <c r="E28" s="5" t="str">
        <f>IFERROR(__xludf.DUMMYFUNCTION("""COMPUTED_VALUE"""),"男")</f>
        <v>男</v>
      </c>
      <c r="F28" s="5" t="str">
        <f>IFERROR(__xludf.DUMMYFUNCTION("""COMPUTED_VALUE"""),"MUA")</f>
        <v>MUA</v>
      </c>
      <c r="G28" s="5" t="str">
        <f>IFERROR(__xludf.DUMMYFUNCTION("""COMPUTED_VALUE"""),"○出場")</f>
        <v>○出場</v>
      </c>
      <c r="H28" s="5">
        <f>IFERROR(__xludf.DUMMYFUNCTION("""COMPUTED_VALUE"""),520656.0)</f>
        <v>520656</v>
      </c>
      <c r="I28" s="5" t="str">
        <f>IFERROR(__xludf.DUMMYFUNCTION("""COMPUTED_VALUE"""),"○参加する")</f>
        <v>○参加する</v>
      </c>
      <c r="J28" s="5"/>
      <c r="K28" s="12">
        <f t="shared" si="2"/>
        <v>1</v>
      </c>
    </row>
    <row r="29" ht="19.5" customHeight="1">
      <c r="A29" s="5">
        <f>IFERROR(__xludf.DUMMYFUNCTION("""COMPUTED_VALUE"""),235608.0)</f>
        <v>235608</v>
      </c>
      <c r="B29" s="5" t="str">
        <f>IFERROR(__xludf.DUMMYFUNCTION("""COMPUTED_VALUE"""),"小杉 亮太")</f>
        <v>小杉 亮太</v>
      </c>
      <c r="C29" s="5" t="str">
        <f>IFERROR(__xludf.DUMMYFUNCTION("""COMPUTED_VALUE"""),"こすぎ りょうた")</f>
        <v>こすぎ りょうた</v>
      </c>
      <c r="D29" s="5">
        <f>IFERROR(__xludf.DUMMYFUNCTION("""COMPUTED_VALUE"""),2.0)</f>
        <v>2</v>
      </c>
      <c r="E29" s="5" t="str">
        <f>IFERROR(__xludf.DUMMYFUNCTION("""COMPUTED_VALUE"""),"男")</f>
        <v>男</v>
      </c>
      <c r="F29" s="5" t="str">
        <f>IFERROR(__xludf.DUMMYFUNCTION("""COMPUTED_VALUE"""),"MUA")</f>
        <v>MUA</v>
      </c>
      <c r="G29" s="5" t="str">
        <f>IFERROR(__xludf.DUMMYFUNCTION("""COMPUTED_VALUE"""),"○出場")</f>
        <v>○出場</v>
      </c>
      <c r="H29" s="5">
        <f>IFERROR(__xludf.DUMMYFUNCTION("""COMPUTED_VALUE"""),520657.0)</f>
        <v>520657</v>
      </c>
      <c r="I29" s="5" t="str">
        <f>IFERROR(__xludf.DUMMYFUNCTION("""COMPUTED_VALUE"""),"○参加する")</f>
        <v>○参加する</v>
      </c>
      <c r="J29" s="5"/>
      <c r="K29" s="12">
        <f t="shared" si="2"/>
        <v>1</v>
      </c>
    </row>
    <row r="30" ht="19.5" customHeight="1">
      <c r="A30" s="5">
        <f>IFERROR(__xludf.DUMMYFUNCTION("""COMPUTED_VALUE"""),235609.0)</f>
        <v>235609</v>
      </c>
      <c r="B30" s="5" t="str">
        <f>IFERROR(__xludf.DUMMYFUNCTION("""COMPUTED_VALUE"""),"若林 拓")</f>
        <v>若林 拓</v>
      </c>
      <c r="C30" s="5" t="str">
        <f>IFERROR(__xludf.DUMMYFUNCTION("""COMPUTED_VALUE"""),"わかばやし たく")</f>
        <v>わかばやし たく</v>
      </c>
      <c r="D30" s="5">
        <f>IFERROR(__xludf.DUMMYFUNCTION("""COMPUTED_VALUE"""),2.0)</f>
        <v>2</v>
      </c>
      <c r="E30" s="5" t="str">
        <f>IFERROR(__xludf.DUMMYFUNCTION("""COMPUTED_VALUE"""),"男")</f>
        <v>男</v>
      </c>
      <c r="F30" s="5" t="str">
        <f>IFERROR(__xludf.DUMMYFUNCTION("""COMPUTED_VALUE"""),"×欠場")</f>
        <v>×欠場</v>
      </c>
      <c r="G30" s="5" t="str">
        <f>IFERROR(__xludf.DUMMYFUNCTION("""COMPUTED_VALUE"""),"×欠場")</f>
        <v>×欠場</v>
      </c>
      <c r="H30" s="5"/>
      <c r="I30" s="5" t="str">
        <f>IFERROR(__xludf.DUMMYFUNCTION("""COMPUTED_VALUE"""),"×参加しない")</f>
        <v>×参加しない</v>
      </c>
      <c r="J30" s="5"/>
      <c r="K30" s="12">
        <f t="shared" si="2"/>
        <v>0</v>
      </c>
    </row>
    <row r="31" ht="19.5" customHeight="1">
      <c r="A31" s="5">
        <f>IFERROR(__xludf.DUMMYFUNCTION("""COMPUTED_VALUE"""),235610.0)</f>
        <v>235610</v>
      </c>
      <c r="B31" s="5" t="str">
        <f>IFERROR(__xludf.DUMMYFUNCTION("""COMPUTED_VALUE"""),"山崎 蓮馬")</f>
        <v>山崎 蓮馬</v>
      </c>
      <c r="C31" s="5" t="str">
        <f>IFERROR(__xludf.DUMMYFUNCTION("""COMPUTED_VALUE"""),"やまざき れんま")</f>
        <v>やまざき れんま</v>
      </c>
      <c r="D31" s="5">
        <f>IFERROR(__xludf.DUMMYFUNCTION("""COMPUTED_VALUE"""),2.0)</f>
        <v>2</v>
      </c>
      <c r="E31" s="5" t="str">
        <f>IFERROR(__xludf.DUMMYFUNCTION("""COMPUTED_VALUE"""),"男")</f>
        <v>男</v>
      </c>
      <c r="F31" s="5" t="str">
        <f>IFERROR(__xludf.DUMMYFUNCTION("""COMPUTED_VALUE"""),"×欠場")</f>
        <v>×欠場</v>
      </c>
      <c r="G31" s="5" t="str">
        <f>IFERROR(__xludf.DUMMYFUNCTION("""COMPUTED_VALUE"""),"×欠場")</f>
        <v>×欠場</v>
      </c>
      <c r="H31" s="5"/>
      <c r="I31" s="5" t="str">
        <f>IFERROR(__xludf.DUMMYFUNCTION("""COMPUTED_VALUE"""),"×参加しない")</f>
        <v>×参加しない</v>
      </c>
      <c r="J31" s="5"/>
      <c r="K31" s="12">
        <f t="shared" si="2"/>
        <v>0</v>
      </c>
    </row>
    <row r="32" ht="19.5" customHeight="1">
      <c r="A32" s="5">
        <f>IFERROR(__xludf.DUMMYFUNCTION("""COMPUTED_VALUE"""),235611.0)</f>
        <v>235611</v>
      </c>
      <c r="B32" s="5" t="str">
        <f>IFERROR(__xludf.DUMMYFUNCTION("""COMPUTED_VALUE"""),"大越 温斗")</f>
        <v>大越 温斗</v>
      </c>
      <c r="C32" s="5" t="str">
        <f>IFERROR(__xludf.DUMMYFUNCTION("""COMPUTED_VALUE"""),"おおこし はると")</f>
        <v>おおこし はると</v>
      </c>
      <c r="D32" s="5">
        <f>IFERROR(__xludf.DUMMYFUNCTION("""COMPUTED_VALUE"""),2.0)</f>
        <v>2</v>
      </c>
      <c r="E32" s="5" t="str">
        <f>IFERROR(__xludf.DUMMYFUNCTION("""COMPUTED_VALUE"""),"男")</f>
        <v>男</v>
      </c>
      <c r="F32" s="5" t="str">
        <f>IFERROR(__xludf.DUMMYFUNCTION("""COMPUTED_VALUE"""),"MUA")</f>
        <v>MUA</v>
      </c>
      <c r="G32" s="5" t="str">
        <f>IFERROR(__xludf.DUMMYFUNCTION("""COMPUTED_VALUE"""),"○出場")</f>
        <v>○出場</v>
      </c>
      <c r="H32" s="5">
        <f>IFERROR(__xludf.DUMMYFUNCTION("""COMPUTED_VALUE"""),507510.0)</f>
        <v>507510</v>
      </c>
      <c r="I32" s="5" t="str">
        <f>IFERROR(__xludf.DUMMYFUNCTION("""COMPUTED_VALUE"""),"○参加する")</f>
        <v>○参加する</v>
      </c>
      <c r="J32" s="5"/>
      <c r="K32" s="12">
        <f t="shared" si="2"/>
        <v>1</v>
      </c>
    </row>
    <row r="33" ht="19.5" customHeight="1">
      <c r="A33" s="5">
        <f>IFERROR(__xludf.DUMMYFUNCTION("""COMPUTED_VALUE"""),235613.0)</f>
        <v>235613</v>
      </c>
      <c r="B33" s="5" t="str">
        <f>IFERROR(__xludf.DUMMYFUNCTION("""COMPUTED_VALUE"""),"飯野 正太郎")</f>
        <v>飯野 正太郎</v>
      </c>
      <c r="C33" s="5" t="str">
        <f>IFERROR(__xludf.DUMMYFUNCTION("""COMPUTED_VALUE"""),"いいの しょうたろう")</f>
        <v>いいの しょうたろう</v>
      </c>
      <c r="D33" s="5">
        <f>IFERROR(__xludf.DUMMYFUNCTION("""COMPUTED_VALUE"""),2.0)</f>
        <v>2</v>
      </c>
      <c r="E33" s="5" t="str">
        <f>IFERROR(__xludf.DUMMYFUNCTION("""COMPUTED_VALUE"""),"男")</f>
        <v>男</v>
      </c>
      <c r="F33" s="5" t="str">
        <f>IFERROR(__xludf.DUMMYFUNCTION("""COMPUTED_VALUE"""),"MUA")</f>
        <v>MUA</v>
      </c>
      <c r="G33" s="5" t="str">
        <f>IFERROR(__xludf.DUMMYFUNCTION("""COMPUTED_VALUE"""),"○出場")</f>
        <v>○出場</v>
      </c>
      <c r="H33" s="5">
        <f>IFERROR(__xludf.DUMMYFUNCTION("""COMPUTED_VALUE"""),520659.0)</f>
        <v>520659</v>
      </c>
      <c r="I33" s="5" t="str">
        <f>IFERROR(__xludf.DUMMYFUNCTION("""COMPUTED_VALUE"""),"○参加する")</f>
        <v>○参加する</v>
      </c>
      <c r="J33" s="5"/>
      <c r="K33" s="12">
        <f t="shared" si="2"/>
        <v>1</v>
      </c>
    </row>
    <row r="34" ht="19.5" customHeight="1">
      <c r="A34" s="5">
        <f>IFERROR(__xludf.DUMMYFUNCTION("""COMPUTED_VALUE"""),135602.0)</f>
        <v>135602</v>
      </c>
      <c r="B34" s="5" t="str">
        <f>IFERROR(__xludf.DUMMYFUNCTION("""COMPUTED_VALUE"""),"津田 泰裕")</f>
        <v>津田 泰裕</v>
      </c>
      <c r="C34" s="5" t="str">
        <f>IFERROR(__xludf.DUMMYFUNCTION("""COMPUTED_VALUE"""),"つだ やすひろ")</f>
        <v>つだ やすひろ</v>
      </c>
      <c r="D34" s="5">
        <f>IFERROR(__xludf.DUMMYFUNCTION("""COMPUTED_VALUE"""),3.0)</f>
        <v>3</v>
      </c>
      <c r="E34" s="5" t="str">
        <f>IFERROR(__xludf.DUMMYFUNCTION("""COMPUTED_VALUE"""),"男")</f>
        <v>男</v>
      </c>
      <c r="F34" s="5" t="str">
        <f>IFERROR(__xludf.DUMMYFUNCTION("""COMPUTED_VALUE"""),"×欠場")</f>
        <v>×欠場</v>
      </c>
      <c r="G34" s="5" t="str">
        <f>IFERROR(__xludf.DUMMYFUNCTION("""COMPUTED_VALUE"""),"×欠場")</f>
        <v>×欠場</v>
      </c>
      <c r="H34" s="5"/>
      <c r="I34" s="5" t="str">
        <f>IFERROR(__xludf.DUMMYFUNCTION("""COMPUTED_VALUE"""),"×参加しない")</f>
        <v>×参加しない</v>
      </c>
      <c r="J34" s="5"/>
      <c r="K34" s="12">
        <f t="shared" si="2"/>
        <v>0</v>
      </c>
    </row>
    <row r="35" ht="19.5" customHeight="1">
      <c r="A35" s="5">
        <f>IFERROR(__xludf.DUMMYFUNCTION("""COMPUTED_VALUE"""),135603.0)</f>
        <v>135603</v>
      </c>
      <c r="B35" s="5" t="str">
        <f>IFERROR(__xludf.DUMMYFUNCTION("""COMPUTED_VALUE"""),"酒井 大地")</f>
        <v>酒井 大地</v>
      </c>
      <c r="C35" s="5" t="str">
        <f>IFERROR(__xludf.DUMMYFUNCTION("""COMPUTED_VALUE"""),"さかい だいち")</f>
        <v>さかい だいち</v>
      </c>
      <c r="D35" s="5">
        <f>IFERROR(__xludf.DUMMYFUNCTION("""COMPUTED_VALUE"""),3.0)</f>
        <v>3</v>
      </c>
      <c r="E35" s="5" t="str">
        <f>IFERROR(__xludf.DUMMYFUNCTION("""COMPUTED_VALUE"""),"男")</f>
        <v>男</v>
      </c>
      <c r="F35" s="5" t="str">
        <f>IFERROR(__xludf.DUMMYFUNCTION("""COMPUTED_VALUE"""),"×欠場")</f>
        <v>×欠場</v>
      </c>
      <c r="G35" s="5" t="str">
        <f>IFERROR(__xludf.DUMMYFUNCTION("""COMPUTED_VALUE"""),"×欠場")</f>
        <v>×欠場</v>
      </c>
      <c r="H35" s="5"/>
      <c r="I35" s="5" t="str">
        <f>IFERROR(__xludf.DUMMYFUNCTION("""COMPUTED_VALUE"""),"×参加しない")</f>
        <v>×参加しない</v>
      </c>
      <c r="J35" s="5"/>
      <c r="K35" s="12">
        <f t="shared" si="2"/>
        <v>0</v>
      </c>
    </row>
    <row r="36" ht="19.5" customHeight="1">
      <c r="A36" s="5">
        <f>IFERROR(__xludf.DUMMYFUNCTION("""COMPUTED_VALUE"""),135604.0)</f>
        <v>135604</v>
      </c>
      <c r="B36" s="5" t="str">
        <f>IFERROR(__xludf.DUMMYFUNCTION("""COMPUTED_VALUE"""),"飯田 真琴")</f>
        <v>飯田 真琴</v>
      </c>
      <c r="C36" s="5" t="str">
        <f>IFERROR(__xludf.DUMMYFUNCTION("""COMPUTED_VALUE"""),"いいだ まこと")</f>
        <v>いいだ まこと</v>
      </c>
      <c r="D36" s="5">
        <f>IFERROR(__xludf.DUMMYFUNCTION("""COMPUTED_VALUE"""),3.0)</f>
        <v>3</v>
      </c>
      <c r="E36" s="5" t="str">
        <f>IFERROR(__xludf.DUMMYFUNCTION("""COMPUTED_VALUE"""),"女")</f>
        <v>女</v>
      </c>
      <c r="F36" s="5" t="str">
        <f>IFERROR(__xludf.DUMMYFUNCTION("""COMPUTED_VALUE"""),"×欠場")</f>
        <v>×欠場</v>
      </c>
      <c r="G36" s="5" t="str">
        <f>IFERROR(__xludf.DUMMYFUNCTION("""COMPUTED_VALUE"""),"×欠場")</f>
        <v>×欠場</v>
      </c>
      <c r="H36" s="5"/>
      <c r="I36" s="5" t="str">
        <f>IFERROR(__xludf.DUMMYFUNCTION("""COMPUTED_VALUE"""),"×参加しない")</f>
        <v>×参加しない</v>
      </c>
      <c r="J36" s="5"/>
      <c r="K36" s="12">
        <f t="shared" si="2"/>
        <v>0</v>
      </c>
    </row>
    <row r="37" ht="19.5" customHeight="1">
      <c r="A37" s="5">
        <f>IFERROR(__xludf.DUMMYFUNCTION("""COMPUTED_VALUE"""),135605.0)</f>
        <v>135605</v>
      </c>
      <c r="B37" s="5" t="str">
        <f>IFERROR(__xludf.DUMMYFUNCTION("""COMPUTED_VALUE"""),"古寺 功明")</f>
        <v>古寺 功明</v>
      </c>
      <c r="C37" s="5" t="str">
        <f>IFERROR(__xludf.DUMMYFUNCTION("""COMPUTED_VALUE"""),"こでら こうめい")</f>
        <v>こでら こうめい</v>
      </c>
      <c r="D37" s="5">
        <f>IFERROR(__xludf.DUMMYFUNCTION("""COMPUTED_VALUE"""),3.0)</f>
        <v>3</v>
      </c>
      <c r="E37" s="5" t="str">
        <f>IFERROR(__xludf.DUMMYFUNCTION("""COMPUTED_VALUE"""),"男")</f>
        <v>男</v>
      </c>
      <c r="F37" s="5" t="str">
        <f>IFERROR(__xludf.DUMMYFUNCTION("""COMPUTED_VALUE"""),"×欠場")</f>
        <v>×欠場</v>
      </c>
      <c r="G37" s="5" t="str">
        <f>IFERROR(__xludf.DUMMYFUNCTION("""COMPUTED_VALUE"""),"×欠場")</f>
        <v>×欠場</v>
      </c>
      <c r="H37" s="5"/>
      <c r="I37" s="5" t="str">
        <f>IFERROR(__xludf.DUMMYFUNCTION("""COMPUTED_VALUE"""),"×参加しない")</f>
        <v>×参加しない</v>
      </c>
      <c r="J37" s="5"/>
      <c r="K37" s="12">
        <f t="shared" si="2"/>
        <v>0</v>
      </c>
    </row>
    <row r="38" ht="19.5" customHeight="1">
      <c r="A38" s="5">
        <f>IFERROR(__xludf.DUMMYFUNCTION("""COMPUTED_VALUE"""),135606.0)</f>
        <v>135606</v>
      </c>
      <c r="B38" s="5" t="str">
        <f>IFERROR(__xludf.DUMMYFUNCTION("""COMPUTED_VALUE"""),"松島 康祐")</f>
        <v>松島 康祐</v>
      </c>
      <c r="C38" s="5" t="str">
        <f>IFERROR(__xludf.DUMMYFUNCTION("""COMPUTED_VALUE"""),"まつしま こうすけ")</f>
        <v>まつしま こうすけ</v>
      </c>
      <c r="D38" s="5">
        <f>IFERROR(__xludf.DUMMYFUNCTION("""COMPUTED_VALUE"""),3.0)</f>
        <v>3</v>
      </c>
      <c r="E38" s="5" t="str">
        <f>IFERROR(__xludf.DUMMYFUNCTION("""COMPUTED_VALUE"""),"男")</f>
        <v>男</v>
      </c>
      <c r="F38" s="5" t="str">
        <f>IFERROR(__xludf.DUMMYFUNCTION("""COMPUTED_VALUE"""),"×欠場")</f>
        <v>×欠場</v>
      </c>
      <c r="G38" s="5" t="str">
        <f>IFERROR(__xludf.DUMMYFUNCTION("""COMPUTED_VALUE"""),"×欠場")</f>
        <v>×欠場</v>
      </c>
      <c r="H38" s="5"/>
      <c r="I38" s="5" t="str">
        <f>IFERROR(__xludf.DUMMYFUNCTION("""COMPUTED_VALUE"""),"×参加しない")</f>
        <v>×参加しない</v>
      </c>
      <c r="J38" s="5"/>
      <c r="K38" s="12">
        <f t="shared" si="2"/>
        <v>0</v>
      </c>
    </row>
    <row r="39" ht="19.5" customHeight="1">
      <c r="A39" s="5">
        <f>IFERROR(__xludf.DUMMYFUNCTION("""COMPUTED_VALUE"""),135609.0)</f>
        <v>135609</v>
      </c>
      <c r="B39" s="5" t="str">
        <f>IFERROR(__xludf.DUMMYFUNCTION("""COMPUTED_VALUE"""),"米山 慧")</f>
        <v>米山 慧</v>
      </c>
      <c r="C39" s="5" t="str">
        <f>IFERROR(__xludf.DUMMYFUNCTION("""COMPUTED_VALUE"""),"よねやま	さとし")</f>
        <v>よねやま	さとし</v>
      </c>
      <c r="D39" s="5">
        <f>IFERROR(__xludf.DUMMYFUNCTION("""COMPUTED_VALUE"""),3.0)</f>
        <v>3</v>
      </c>
      <c r="E39" s="5" t="str">
        <f>IFERROR(__xludf.DUMMYFUNCTION("""COMPUTED_VALUE"""),"男")</f>
        <v>男</v>
      </c>
      <c r="F39" s="5" t="str">
        <f>IFERROR(__xludf.DUMMYFUNCTION("""COMPUTED_VALUE"""),"×欠場")</f>
        <v>×欠場</v>
      </c>
      <c r="G39" s="5" t="str">
        <f>IFERROR(__xludf.DUMMYFUNCTION("""COMPUTED_VALUE"""),"×欠場")</f>
        <v>×欠場</v>
      </c>
      <c r="H39" s="5"/>
      <c r="I39" s="5" t="str">
        <f>IFERROR(__xludf.DUMMYFUNCTION("""COMPUTED_VALUE"""),"×参加しない")</f>
        <v>×参加しない</v>
      </c>
      <c r="J39" s="5"/>
      <c r="K39" s="12">
        <f t="shared" si="2"/>
        <v>0</v>
      </c>
    </row>
    <row r="40" ht="19.5" customHeight="1">
      <c r="A40" s="5">
        <f>IFERROR(__xludf.DUMMYFUNCTION("""COMPUTED_VALUE"""),135611.0)</f>
        <v>135611</v>
      </c>
      <c r="B40" s="5" t="str">
        <f>IFERROR(__xludf.DUMMYFUNCTION("""COMPUTED_VALUE"""),"江尻	航汰")</f>
        <v>江尻	航汰</v>
      </c>
      <c r="C40" s="5" t="str">
        <f>IFERROR(__xludf.DUMMYFUNCTION("""COMPUTED_VALUE"""),"えじり こうた")</f>
        <v>えじり こうた</v>
      </c>
      <c r="D40" s="5">
        <f>IFERROR(__xludf.DUMMYFUNCTION("""COMPUTED_VALUE"""),3.0)</f>
        <v>3</v>
      </c>
      <c r="E40" s="5" t="str">
        <f>IFERROR(__xludf.DUMMYFUNCTION("""COMPUTED_VALUE"""),"男")</f>
        <v>男</v>
      </c>
      <c r="F40" s="5" t="str">
        <f>IFERROR(__xludf.DUMMYFUNCTION("""COMPUTED_VALUE"""),"×欠場")</f>
        <v>×欠場</v>
      </c>
      <c r="G40" s="5" t="str">
        <f>IFERROR(__xludf.DUMMYFUNCTION("""COMPUTED_VALUE"""),"×欠場")</f>
        <v>×欠場</v>
      </c>
      <c r="H40" s="5"/>
      <c r="I40" s="5" t="str">
        <f>IFERROR(__xludf.DUMMYFUNCTION("""COMPUTED_VALUE"""),"×参加しない")</f>
        <v>×参加しない</v>
      </c>
      <c r="J40" s="5"/>
      <c r="K40" s="12">
        <f t="shared" si="2"/>
        <v>0</v>
      </c>
    </row>
    <row r="41" ht="19.5" customHeight="1">
      <c r="A41" s="5">
        <f>IFERROR(__xludf.DUMMYFUNCTION("""COMPUTED_VALUE"""),135612.0)</f>
        <v>135612</v>
      </c>
      <c r="B41" s="5" t="str">
        <f>IFERROR(__xludf.DUMMYFUNCTION("""COMPUTED_VALUE"""),"近藤	慶音")</f>
        <v>近藤	慶音</v>
      </c>
      <c r="C41" s="5" t="str">
        <f>IFERROR(__xludf.DUMMYFUNCTION("""COMPUTED_VALUE"""),"こんどう	けいん")</f>
        <v>こんどう	けいん</v>
      </c>
      <c r="D41" s="5">
        <f>IFERROR(__xludf.DUMMYFUNCTION("""COMPUTED_VALUE"""),3.0)</f>
        <v>3</v>
      </c>
      <c r="E41" s="5" t="str">
        <f>IFERROR(__xludf.DUMMYFUNCTION("""COMPUTED_VALUE"""),"男")</f>
        <v>男</v>
      </c>
      <c r="F41" s="5" t="str">
        <f>IFERROR(__xludf.DUMMYFUNCTION("""COMPUTED_VALUE"""),"MUA")</f>
        <v>MUA</v>
      </c>
      <c r="G41" s="5" t="str">
        <f>IFERROR(__xludf.DUMMYFUNCTION("""COMPUTED_VALUE"""),"○出場")</f>
        <v>○出場</v>
      </c>
      <c r="H41" s="5">
        <f>IFERROR(__xludf.DUMMYFUNCTION("""COMPUTED_VALUE"""),520660.0)</f>
        <v>520660</v>
      </c>
      <c r="I41" s="5" t="str">
        <f>IFERROR(__xludf.DUMMYFUNCTION("""COMPUTED_VALUE"""),"○参加する")</f>
        <v>○参加する</v>
      </c>
      <c r="J41" s="5"/>
      <c r="K41" s="12">
        <f t="shared" si="2"/>
        <v>1</v>
      </c>
    </row>
    <row r="42" ht="19.5" customHeight="1">
      <c r="A42" s="5">
        <f>IFERROR(__xludf.DUMMYFUNCTION("""COMPUTED_VALUE"""),135613.0)</f>
        <v>135613</v>
      </c>
      <c r="B42" s="5" t="str">
        <f>IFERROR(__xludf.DUMMYFUNCTION("""COMPUTED_VALUE"""),"青木 颯汰")</f>
        <v>青木 颯汰</v>
      </c>
      <c r="C42" s="5" t="str">
        <f>IFERROR(__xludf.DUMMYFUNCTION("""COMPUTED_VALUE"""),"あおき そうた")</f>
        <v>あおき そうた</v>
      </c>
      <c r="D42" s="5">
        <f>IFERROR(__xludf.DUMMYFUNCTION("""COMPUTED_VALUE"""),3.0)</f>
        <v>3</v>
      </c>
      <c r="E42" s="5" t="str">
        <f>IFERROR(__xludf.DUMMYFUNCTION("""COMPUTED_VALUE"""),"男")</f>
        <v>男</v>
      </c>
      <c r="F42" s="5" t="str">
        <f>IFERROR(__xludf.DUMMYFUNCTION("""COMPUTED_VALUE"""),"×欠場")</f>
        <v>×欠場</v>
      </c>
      <c r="G42" s="5" t="str">
        <f>IFERROR(__xludf.DUMMYFUNCTION("""COMPUTED_VALUE"""),"×欠場")</f>
        <v>×欠場</v>
      </c>
      <c r="H42" s="5"/>
      <c r="I42" s="5" t="str">
        <f>IFERROR(__xludf.DUMMYFUNCTION("""COMPUTED_VALUE"""),"×参加しない")</f>
        <v>×参加しない</v>
      </c>
      <c r="J42" s="5"/>
      <c r="K42" s="12">
        <f t="shared" si="2"/>
        <v>0</v>
      </c>
    </row>
    <row r="43" ht="19.5" customHeight="1">
      <c r="A43" s="5">
        <f>IFERROR(__xludf.DUMMYFUNCTION("""COMPUTED_VALUE"""),335606.0)</f>
        <v>335606</v>
      </c>
      <c r="B43" s="5" t="str">
        <f>IFERROR(__xludf.DUMMYFUNCTION("""COMPUTED_VALUE"""),"鶴岡涼")</f>
        <v>鶴岡涼</v>
      </c>
      <c r="C43" s="5" t="str">
        <f>IFERROR(__xludf.DUMMYFUNCTION("""COMPUTED_VALUE"""),"つるおかりょう")</f>
        <v>つるおかりょう</v>
      </c>
      <c r="D43" s="5">
        <f>IFERROR(__xludf.DUMMYFUNCTION("""COMPUTED_VALUE"""),4.0)</f>
        <v>4</v>
      </c>
      <c r="E43" s="5" t="str">
        <f>IFERROR(__xludf.DUMMYFUNCTION("""COMPUTED_VALUE"""),"女")</f>
        <v>女</v>
      </c>
      <c r="F43" s="5" t="str">
        <f>IFERROR(__xludf.DUMMYFUNCTION("""COMPUTED_VALUE"""),"×欠場")</f>
        <v>×欠場</v>
      </c>
      <c r="G43" s="5" t="str">
        <f>IFERROR(__xludf.DUMMYFUNCTION("""COMPUTED_VALUE"""),"×欠場")</f>
        <v>×欠場</v>
      </c>
      <c r="H43" s="5"/>
      <c r="I43" s="5" t="str">
        <f>IFERROR(__xludf.DUMMYFUNCTION("""COMPUTED_VALUE"""),"×参加しない")</f>
        <v>×参加しない</v>
      </c>
      <c r="J43" s="5"/>
      <c r="K43" s="12">
        <f t="shared" si="2"/>
        <v>0</v>
      </c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12">
        <f t="shared" si="2"/>
        <v>0</v>
      </c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2">
        <f t="shared" si="2"/>
        <v>0</v>
      </c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2">
        <f t="shared" si="2"/>
        <v>0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1250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5</v>
      </c>
      <c r="E4" s="7">
        <f t="shared" ref="E4:E8" si="1">C4*D4</f>
        <v>42500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1</v>
      </c>
      <c r="E5" s="7">
        <f t="shared" si="1"/>
        <v>8000</v>
      </c>
    </row>
    <row r="6" ht="19.5" customHeight="1">
      <c r="A6" s="2" t="s">
        <v>9</v>
      </c>
      <c r="B6" s="4"/>
      <c r="C6" s="7">
        <v>32700.0</v>
      </c>
      <c r="D6" s="5">
        <f>D4+D5</f>
        <v>6</v>
      </c>
      <c r="E6" s="7">
        <f t="shared" si="1"/>
        <v>196200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1</v>
      </c>
      <c r="E7" s="7">
        <f t="shared" si="1"/>
        <v>4500</v>
      </c>
    </row>
    <row r="8" ht="19.5" customHeight="1">
      <c r="A8" s="2" t="s">
        <v>11</v>
      </c>
      <c r="B8" s="4"/>
      <c r="C8" s="7">
        <v>500.0</v>
      </c>
      <c r="D8" s="5">
        <f>D4-COUNT(H14:H201)</f>
        <v>0</v>
      </c>
      <c r="E8" s="7">
        <f t="shared" si="1"/>
        <v>0</v>
      </c>
    </row>
    <row r="9" ht="19.5" customHeight="1">
      <c r="A9" s="9"/>
      <c r="B9" s="9"/>
      <c r="C9" s="9"/>
      <c r="D9" s="10" t="s">
        <v>5</v>
      </c>
      <c r="E9" s="11">
        <f>SUM(E4:E8)</f>
        <v>251200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IFERROR(__xludf.DUMMYFUNCTION("FILTER('個人別エントリー'!C2:L1018,'個人別エントリー'!B2:B1018=A1)"),336401.0)</f>
        <v>336401</v>
      </c>
      <c r="B14" s="5" t="str">
        <f>IFERROR(__xludf.DUMMYFUNCTION("""COMPUTED_VALUE"""),"鈴木　万結")</f>
        <v>鈴木　万結</v>
      </c>
      <c r="C14" s="5" t="str">
        <f>IFERROR(__xludf.DUMMYFUNCTION("""COMPUTED_VALUE"""),"すずき　まゆ")</f>
        <v>すずき　まゆ</v>
      </c>
      <c r="D14" s="5">
        <f>IFERROR(__xludf.DUMMYFUNCTION("""COMPUTED_VALUE"""),1.0)</f>
        <v>1</v>
      </c>
      <c r="E14" s="5" t="str">
        <f>IFERROR(__xludf.DUMMYFUNCTION("""COMPUTED_VALUE"""),"女")</f>
        <v>女</v>
      </c>
      <c r="F14" s="5" t="str">
        <f>IFERROR(__xludf.DUMMYFUNCTION("""COMPUTED_VALUE"""),"WUF")</f>
        <v>WUF</v>
      </c>
      <c r="G14" s="5" t="str">
        <f>IFERROR(__xludf.DUMMYFUNCTION("""COMPUTED_VALUE"""),"○出場")</f>
        <v>○出場</v>
      </c>
      <c r="H14" s="5">
        <f>IFERROR(__xludf.DUMMYFUNCTION("""COMPUTED_VALUE"""),510611.0)</f>
        <v>510611</v>
      </c>
      <c r="I14" s="5" t="str">
        <f>IFERROR(__xludf.DUMMYFUNCTION("""COMPUTED_VALUE"""),"×参加しない")</f>
        <v>×参加しない</v>
      </c>
      <c r="J14" s="5"/>
      <c r="K14" s="12">
        <f t="shared" ref="K14:K201" si="2">IF(AND(OR(F14="×欠場",F14=""),OR(G14="×欠場",G14="")),0,1)</f>
        <v>1</v>
      </c>
      <c r="M14" s="5" t="str">
        <f>IFERROR(__xludf.DUMMYFUNCTION("FILTER('リレー内容'!$C$2:$K$51,'リレー内容'!$B$2:$B$51=A1)"),"×欠場")</f>
        <v>×欠場</v>
      </c>
      <c r="N14" s="5" t="str">
        <f>IFERROR(__xludf.DUMMYFUNCTION("""COMPUTED_VALUE"""),"○出場")</f>
        <v>○出場</v>
      </c>
      <c r="O14" s="5">
        <f>IFERROR(__xludf.DUMMYFUNCTION("""COMPUTED_VALUE"""),0.0)</f>
        <v>0</v>
      </c>
      <c r="P14" s="5">
        <f>IFERROR(__xludf.DUMMYFUNCTION("""COMPUTED_VALUE"""),0.0)</f>
        <v>0</v>
      </c>
      <c r="Q14" s="5">
        <f>IFERROR(__xludf.DUMMYFUNCTION("""COMPUTED_VALUE"""),1.0)</f>
        <v>1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IFERROR(__xludf.DUMMYFUNCTION("""COMPUTED_VALUE"""),336402.0)</f>
        <v>336402</v>
      </c>
      <c r="B15" s="5" t="str">
        <f>IFERROR(__xludf.DUMMYFUNCTION("""COMPUTED_VALUE"""),"鳥谷　日緒理")</f>
        <v>鳥谷　日緒理</v>
      </c>
      <c r="C15" s="5" t="str">
        <f>IFERROR(__xludf.DUMMYFUNCTION("""COMPUTED_VALUE"""),"とや　ひおり")</f>
        <v>とや　ひおり</v>
      </c>
      <c r="D15" s="5">
        <f>IFERROR(__xludf.DUMMYFUNCTION("""COMPUTED_VALUE"""),1.0)</f>
        <v>1</v>
      </c>
      <c r="E15" s="5" t="str">
        <f>IFERROR(__xludf.DUMMYFUNCTION("""COMPUTED_VALUE"""),"女")</f>
        <v>女</v>
      </c>
      <c r="F15" s="5" t="str">
        <f>IFERROR(__xludf.DUMMYFUNCTION("""COMPUTED_VALUE"""),"×欠場")</f>
        <v>×欠場</v>
      </c>
      <c r="G15" s="5" t="str">
        <f>IFERROR(__xludf.DUMMYFUNCTION("""COMPUTED_VALUE"""),"×欠場")</f>
        <v>×欠場</v>
      </c>
      <c r="H15" s="5"/>
      <c r="I15" s="5" t="str">
        <f>IFERROR(__xludf.DUMMYFUNCTION("""COMPUTED_VALUE"""),"×参加しない")</f>
        <v>×参加しない</v>
      </c>
      <c r="J15" s="5"/>
      <c r="K15" s="12">
        <f t="shared" si="2"/>
        <v>0</v>
      </c>
    </row>
    <row r="16" ht="19.5" customHeight="1">
      <c r="A16" s="5">
        <f>IFERROR(__xludf.DUMMYFUNCTION("""COMPUTED_VALUE"""),336403.0)</f>
        <v>336403</v>
      </c>
      <c r="B16" s="5" t="str">
        <f>IFERROR(__xludf.DUMMYFUNCTION("""COMPUTED_VALUE"""),"鈴木　菜那")</f>
        <v>鈴木　菜那</v>
      </c>
      <c r="C16" s="5" t="str">
        <f>IFERROR(__xludf.DUMMYFUNCTION("""COMPUTED_VALUE"""),"すずき　なな")</f>
        <v>すずき　なな</v>
      </c>
      <c r="D16" s="5">
        <f>IFERROR(__xludf.DUMMYFUNCTION("""COMPUTED_VALUE"""),1.0)</f>
        <v>1</v>
      </c>
      <c r="E16" s="5" t="str">
        <f>IFERROR(__xludf.DUMMYFUNCTION("""COMPUTED_VALUE"""),"女")</f>
        <v>女</v>
      </c>
      <c r="F16" s="5" t="str">
        <f>IFERROR(__xludf.DUMMYFUNCTION("""COMPUTED_VALUE"""),"×欠場")</f>
        <v>×欠場</v>
      </c>
      <c r="G16" s="5" t="str">
        <f>IFERROR(__xludf.DUMMYFUNCTION("""COMPUTED_VALUE"""),"×欠場")</f>
        <v>×欠場</v>
      </c>
      <c r="H16" s="5"/>
      <c r="I16" s="5" t="str">
        <f>IFERROR(__xludf.DUMMYFUNCTION("""COMPUTED_VALUE"""),"×参加しない")</f>
        <v>×参加しない</v>
      </c>
      <c r="J16" s="5"/>
      <c r="K16" s="12">
        <f t="shared" si="2"/>
        <v>0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>
        <f>IFERROR(__xludf.DUMMYFUNCTION("""COMPUTED_VALUE"""),336404.0)</f>
        <v>336404</v>
      </c>
      <c r="B17" s="5" t="str">
        <f>IFERROR(__xludf.DUMMYFUNCTION("""COMPUTED_VALUE"""),"篠田　恭子")</f>
        <v>篠田　恭子</v>
      </c>
      <c r="C17" s="5" t="str">
        <f>IFERROR(__xludf.DUMMYFUNCTION("""COMPUTED_VALUE"""),"しのだ　きょうこ")</f>
        <v>しのだ　きょうこ</v>
      </c>
      <c r="D17" s="5">
        <f>IFERROR(__xludf.DUMMYFUNCTION("""COMPUTED_VALUE"""),1.0)</f>
        <v>1</v>
      </c>
      <c r="E17" s="5" t="str">
        <f>IFERROR(__xludf.DUMMYFUNCTION("""COMPUTED_VALUE"""),"女")</f>
        <v>女</v>
      </c>
      <c r="F17" s="5" t="str">
        <f>IFERROR(__xludf.DUMMYFUNCTION("""COMPUTED_VALUE"""),"×欠場")</f>
        <v>×欠場</v>
      </c>
      <c r="G17" s="5" t="str">
        <f>IFERROR(__xludf.DUMMYFUNCTION("""COMPUTED_VALUE"""),"×欠場")</f>
        <v>×欠場</v>
      </c>
      <c r="H17" s="5"/>
      <c r="I17" s="5" t="str">
        <f>IFERROR(__xludf.DUMMYFUNCTION("""COMPUTED_VALUE"""),"×参加しない")</f>
        <v>×参加しない</v>
      </c>
      <c r="J17" s="5"/>
      <c r="K17" s="12">
        <f t="shared" si="2"/>
        <v>0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>
        <f>IFERROR(__xludf.DUMMYFUNCTION("""COMPUTED_VALUE"""),336405.0)</f>
        <v>336405</v>
      </c>
      <c r="B18" s="5" t="str">
        <f>IFERROR(__xludf.DUMMYFUNCTION("""COMPUTED_VALUE"""),"井上　桃寧")</f>
        <v>井上　桃寧</v>
      </c>
      <c r="C18" s="5" t="str">
        <f>IFERROR(__xludf.DUMMYFUNCTION("""COMPUTED_VALUE"""),"いのうえ　ももね")</f>
        <v>いのうえ　ももね</v>
      </c>
      <c r="D18" s="5">
        <f>IFERROR(__xludf.DUMMYFUNCTION("""COMPUTED_VALUE"""),1.0)</f>
        <v>1</v>
      </c>
      <c r="E18" s="5" t="str">
        <f>IFERROR(__xludf.DUMMYFUNCTION("""COMPUTED_VALUE"""),"女")</f>
        <v>女</v>
      </c>
      <c r="F18" s="5" t="str">
        <f>IFERROR(__xludf.DUMMYFUNCTION("""COMPUTED_VALUE"""),"×欠場")</f>
        <v>×欠場</v>
      </c>
      <c r="G18" s="5" t="str">
        <f>IFERROR(__xludf.DUMMYFUNCTION("""COMPUTED_VALUE"""),"×欠場")</f>
        <v>×欠場</v>
      </c>
      <c r="H18" s="5"/>
      <c r="I18" s="5" t="str">
        <f>IFERROR(__xludf.DUMMYFUNCTION("""COMPUTED_VALUE"""),"×参加しない")</f>
        <v>×参加しない</v>
      </c>
      <c r="J18" s="5"/>
      <c r="K18" s="12">
        <f t="shared" si="2"/>
        <v>0</v>
      </c>
      <c r="M18" s="5" t="s">
        <v>29</v>
      </c>
      <c r="N18" s="2" t="s">
        <v>847</v>
      </c>
      <c r="O18" s="4"/>
      <c r="P18" s="2" t="s">
        <v>2326</v>
      </c>
      <c r="Q18" s="3"/>
      <c r="R18" s="3"/>
      <c r="S18" s="3"/>
      <c r="T18" s="3"/>
      <c r="U18" s="4"/>
    </row>
    <row r="19" ht="19.5" customHeight="1">
      <c r="A19" s="5">
        <f>IFERROR(__xludf.DUMMYFUNCTION("""COMPUTED_VALUE"""),336406.0)</f>
        <v>336406</v>
      </c>
      <c r="B19" s="5" t="str">
        <f>IFERROR(__xludf.DUMMYFUNCTION("""COMPUTED_VALUE"""),"岸　えみり")</f>
        <v>岸　えみり</v>
      </c>
      <c r="C19" s="5" t="str">
        <f>IFERROR(__xludf.DUMMYFUNCTION("""COMPUTED_VALUE"""),"きし　えみり")</f>
        <v>きし　えみり</v>
      </c>
      <c r="D19" s="5">
        <f>IFERROR(__xludf.DUMMYFUNCTION("""COMPUTED_VALUE"""),1.0)</f>
        <v>1</v>
      </c>
      <c r="E19" s="5" t="str">
        <f>IFERROR(__xludf.DUMMYFUNCTION("""COMPUTED_VALUE"""),"女")</f>
        <v>女</v>
      </c>
      <c r="F19" s="5" t="str">
        <f>IFERROR(__xludf.DUMMYFUNCTION("""COMPUTED_VALUE"""),"×欠場")</f>
        <v>×欠場</v>
      </c>
      <c r="G19" s="5" t="str">
        <f>IFERROR(__xludf.DUMMYFUNCTION("""COMPUTED_VALUE"""),"×欠場")</f>
        <v>×欠場</v>
      </c>
      <c r="H19" s="5"/>
      <c r="I19" s="5" t="str">
        <f>IFERROR(__xludf.DUMMYFUNCTION("""COMPUTED_VALUE"""),"×参加しない")</f>
        <v>×参加しない</v>
      </c>
      <c r="J19" s="5"/>
      <c r="K19" s="12">
        <f t="shared" si="2"/>
        <v>0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>
        <f>IFERROR(__xludf.DUMMYFUNCTION("""COMPUTED_VALUE"""),336407.0)</f>
        <v>336407</v>
      </c>
      <c r="B20" s="5" t="str">
        <f>IFERROR(__xludf.DUMMYFUNCTION("""COMPUTED_VALUE"""),"井上　愛子")</f>
        <v>井上　愛子</v>
      </c>
      <c r="C20" s="5" t="str">
        <f>IFERROR(__xludf.DUMMYFUNCTION("""COMPUTED_VALUE"""),"いのうえ　あいこ")</f>
        <v>いのうえ　あいこ</v>
      </c>
      <c r="D20" s="5">
        <f>IFERROR(__xludf.DUMMYFUNCTION("""COMPUTED_VALUE"""),1.0)</f>
        <v>1</v>
      </c>
      <c r="E20" s="5" t="str">
        <f>IFERROR(__xludf.DUMMYFUNCTION("""COMPUTED_VALUE"""),"女")</f>
        <v>女</v>
      </c>
      <c r="F20" s="5" t="str">
        <f>IFERROR(__xludf.DUMMYFUNCTION("""COMPUTED_VALUE"""),"WUF")</f>
        <v>WUF</v>
      </c>
      <c r="G20" s="5" t="str">
        <f>IFERROR(__xludf.DUMMYFUNCTION("""COMPUTED_VALUE"""),"○出場")</f>
        <v>○出場</v>
      </c>
      <c r="H20" s="5">
        <f>IFERROR(__xludf.DUMMYFUNCTION("""COMPUTED_VALUE"""),507529.0)</f>
        <v>507529</v>
      </c>
      <c r="I20" s="5" t="str">
        <f>IFERROR(__xludf.DUMMYFUNCTION("""COMPUTED_VALUE"""),"○参加する")</f>
        <v>○参加する</v>
      </c>
      <c r="J20" s="5"/>
      <c r="K20" s="12">
        <f t="shared" si="2"/>
        <v>1</v>
      </c>
    </row>
    <row r="21" ht="19.5" customHeight="1">
      <c r="A21" s="5">
        <f>IFERROR(__xludf.DUMMYFUNCTION("""COMPUTED_VALUE"""),336408.0)</f>
        <v>336408</v>
      </c>
      <c r="B21" s="5" t="str">
        <f>IFERROR(__xludf.DUMMYFUNCTION("""COMPUTED_VALUE"""),"鶴見　和樺")</f>
        <v>鶴見　和樺</v>
      </c>
      <c r="C21" s="5" t="str">
        <f>IFERROR(__xludf.DUMMYFUNCTION("""COMPUTED_VALUE"""),"つるみ　わかば")</f>
        <v>つるみ　わかば</v>
      </c>
      <c r="D21" s="5">
        <f>IFERROR(__xludf.DUMMYFUNCTION("""COMPUTED_VALUE"""),1.0)</f>
        <v>1</v>
      </c>
      <c r="E21" s="5" t="str">
        <f>IFERROR(__xludf.DUMMYFUNCTION("""COMPUTED_VALUE"""),"女")</f>
        <v>女</v>
      </c>
      <c r="F21" s="5" t="str">
        <f>IFERROR(__xludf.DUMMYFUNCTION("""COMPUTED_VALUE"""),"×欠場")</f>
        <v>×欠場</v>
      </c>
      <c r="G21" s="5" t="str">
        <f>IFERROR(__xludf.DUMMYFUNCTION("""COMPUTED_VALUE"""),"×欠場")</f>
        <v>×欠場</v>
      </c>
      <c r="H21" s="5"/>
      <c r="I21" s="5" t="str">
        <f>IFERROR(__xludf.DUMMYFUNCTION("""COMPUTED_VALUE"""),"×参加しない")</f>
        <v>×参加しない</v>
      </c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>
        <f>IFERROR(__xludf.DUMMYFUNCTION("""COMPUTED_VALUE"""),336409.0)</f>
        <v>336409</v>
      </c>
      <c r="B22" s="5" t="str">
        <f>IFERROR(__xludf.DUMMYFUNCTION("""COMPUTED_VALUE"""),"岡　蒼唯")</f>
        <v>岡　蒼唯</v>
      </c>
      <c r="C22" s="5" t="str">
        <f>IFERROR(__xludf.DUMMYFUNCTION("""COMPUTED_VALUE"""),"おか　あおい")</f>
        <v>おか　あおい</v>
      </c>
      <c r="D22" s="5">
        <f>IFERROR(__xludf.DUMMYFUNCTION("""COMPUTED_VALUE"""),1.0)</f>
        <v>1</v>
      </c>
      <c r="E22" s="5" t="str">
        <f>IFERROR(__xludf.DUMMYFUNCTION("""COMPUTED_VALUE"""),"女")</f>
        <v>女</v>
      </c>
      <c r="F22" s="5" t="str">
        <f>IFERROR(__xludf.DUMMYFUNCTION("""COMPUTED_VALUE"""),"×欠場")</f>
        <v>×欠場</v>
      </c>
      <c r="G22" s="5" t="str">
        <f>IFERROR(__xludf.DUMMYFUNCTION("""COMPUTED_VALUE"""),"×欠場")</f>
        <v>×欠場</v>
      </c>
      <c r="H22" s="5"/>
      <c r="I22" s="5" t="str">
        <f>IFERROR(__xludf.DUMMYFUNCTION("""COMPUTED_VALUE"""),"×参加しない")</f>
        <v>×参加しない</v>
      </c>
      <c r="J22" s="5"/>
      <c r="K22" s="12">
        <f t="shared" si="2"/>
        <v>0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>
        <f>IFERROR(__xludf.DUMMYFUNCTION("""COMPUTED_VALUE"""),336410.0)</f>
        <v>336410</v>
      </c>
      <c r="B23" s="5" t="str">
        <f>IFERROR(__xludf.DUMMYFUNCTION("""COMPUTED_VALUE"""),"別所　美寛")</f>
        <v>別所　美寛</v>
      </c>
      <c r="C23" s="5" t="str">
        <f>IFERROR(__xludf.DUMMYFUNCTION("""COMPUTED_VALUE"""),"べっしょ　みひろ")</f>
        <v>べっしょ　みひろ</v>
      </c>
      <c r="D23" s="5">
        <f>IFERROR(__xludf.DUMMYFUNCTION("""COMPUTED_VALUE"""),1.0)</f>
        <v>1</v>
      </c>
      <c r="E23" s="5" t="str">
        <f>IFERROR(__xludf.DUMMYFUNCTION("""COMPUTED_VALUE"""),"女")</f>
        <v>女</v>
      </c>
      <c r="F23" s="5" t="str">
        <f>IFERROR(__xludf.DUMMYFUNCTION("""COMPUTED_VALUE"""),"×欠場")</f>
        <v>×欠場</v>
      </c>
      <c r="G23" s="5" t="str">
        <f>IFERROR(__xludf.DUMMYFUNCTION("""COMPUTED_VALUE"""),"×欠場")</f>
        <v>×欠場</v>
      </c>
      <c r="H23" s="5"/>
      <c r="I23" s="5" t="str">
        <f>IFERROR(__xludf.DUMMYFUNCTION("""COMPUTED_VALUE"""),"×参加しない")</f>
        <v>×参加しない</v>
      </c>
      <c r="J23" s="5"/>
      <c r="K23" s="12">
        <f t="shared" si="2"/>
        <v>0</v>
      </c>
      <c r="M23" s="2" t="str">
        <f>IFERROR(__xludf.DUMMYFUNCTION("FILTER('オフィシャル'!$B$2:$B$65,'オフィシャル'!$A$2:$A$65=A1)"),"榎戸 麻衣")</f>
        <v>榎戸 麻衣</v>
      </c>
      <c r="N23" s="4"/>
      <c r="O23" s="2" t="str">
        <f>IFERROR(__xludf.DUMMYFUNCTION("FILTER('オフィシャル'!$C$2:$C$65,'オフィシャル'!$A$2:$A$65=A1)"),"えのきど まい")</f>
        <v>えのきど まい</v>
      </c>
      <c r="P23" s="3"/>
      <c r="Q23" s="5" t="str">
        <f>IFERROR(__xludf.DUMMYFUNCTION("FILTER('オフィシャル'!$D$2:$D$65,'オフィシャル'!$A$2:$A$65=A1)"),"女")</f>
        <v>女</v>
      </c>
      <c r="R23" s="2" t="str">
        <f>IFERROR(__xludf.DUMMYFUNCTION("FILTER('オフィシャル'!$E$2:$E$65,'オフィシャル'!$A$2:$A$65=A1)"),"○する")</f>
        <v>○する</v>
      </c>
      <c r="S23" s="4"/>
      <c r="T23" s="14" t="str">
        <f>IFERROR(__xludf.DUMMYFUNCTION("FILTER('オフィシャル'!$F$2:$F$65,'オフィシャル'!$A$2:$A$65=A1)"),"")</f>
        <v/>
      </c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>
        <f>IFERROR(__xludf.DUMMYFUNCTION("""COMPUTED_VALUE"""),336411.0)</f>
        <v>336411</v>
      </c>
      <c r="B24" s="5" t="str">
        <f>IFERROR(__xludf.DUMMYFUNCTION("""COMPUTED_VALUE"""),"大森　美穂")</f>
        <v>大森　美穂</v>
      </c>
      <c r="C24" s="5" t="str">
        <f>IFERROR(__xludf.DUMMYFUNCTION("""COMPUTED_VALUE"""),"おおもり　みほ")</f>
        <v>おおもり　みほ</v>
      </c>
      <c r="D24" s="5">
        <f>IFERROR(__xludf.DUMMYFUNCTION("""COMPUTED_VALUE"""),1.0)</f>
        <v>1</v>
      </c>
      <c r="E24" s="5" t="str">
        <f>IFERROR(__xludf.DUMMYFUNCTION("""COMPUTED_VALUE"""),"女")</f>
        <v>女</v>
      </c>
      <c r="F24" s="5" t="str">
        <f>IFERROR(__xludf.DUMMYFUNCTION("""COMPUTED_VALUE"""),"×欠場")</f>
        <v>×欠場</v>
      </c>
      <c r="G24" s="5" t="str">
        <f>IFERROR(__xludf.DUMMYFUNCTION("""COMPUTED_VALUE"""),"×欠場")</f>
        <v>×欠場</v>
      </c>
      <c r="H24" s="5"/>
      <c r="I24" s="5" t="str">
        <f>IFERROR(__xludf.DUMMYFUNCTION("""COMPUTED_VALUE"""),"×参加しない")</f>
        <v>×参加しない</v>
      </c>
      <c r="J24" s="5"/>
      <c r="K24" s="12">
        <f t="shared" si="2"/>
        <v>0</v>
      </c>
      <c r="M24" s="2"/>
      <c r="N24" s="4"/>
      <c r="O24" s="2"/>
      <c r="P24" s="3"/>
      <c r="Q24" s="5"/>
      <c r="R24" s="2"/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>
        <f>IFERROR(__xludf.DUMMYFUNCTION("""COMPUTED_VALUE"""),336412.0)</f>
        <v>336412</v>
      </c>
      <c r="B25" s="5" t="str">
        <f>IFERROR(__xludf.DUMMYFUNCTION("""COMPUTED_VALUE"""),"八木　杏")</f>
        <v>八木　杏</v>
      </c>
      <c r="C25" s="5" t="str">
        <f>IFERROR(__xludf.DUMMYFUNCTION("""COMPUTED_VALUE"""),"やぎ　あんず")</f>
        <v>やぎ　あんず</v>
      </c>
      <c r="D25" s="5">
        <f>IFERROR(__xludf.DUMMYFUNCTION("""COMPUTED_VALUE"""),1.0)</f>
        <v>1</v>
      </c>
      <c r="E25" s="5" t="str">
        <f>IFERROR(__xludf.DUMMYFUNCTION("""COMPUTED_VALUE"""),"女")</f>
        <v>女</v>
      </c>
      <c r="F25" s="5" t="str">
        <f>IFERROR(__xludf.DUMMYFUNCTION("""COMPUTED_VALUE"""),"×欠場")</f>
        <v>×欠場</v>
      </c>
      <c r="G25" s="5" t="str">
        <f>IFERROR(__xludf.DUMMYFUNCTION("""COMPUTED_VALUE"""),"×欠場")</f>
        <v>×欠場</v>
      </c>
      <c r="H25" s="5"/>
      <c r="I25" s="5" t="str">
        <f>IFERROR(__xludf.DUMMYFUNCTION("""COMPUTED_VALUE"""),"×参加しない")</f>
        <v>×参加しない</v>
      </c>
      <c r="J25" s="5"/>
      <c r="K25" s="12">
        <f t="shared" si="2"/>
        <v>0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>
        <f>IFERROR(__xludf.DUMMYFUNCTION("""COMPUTED_VALUE"""),336413.0)</f>
        <v>336413</v>
      </c>
      <c r="B26" s="5" t="str">
        <f>IFERROR(__xludf.DUMMYFUNCTION("""COMPUTED_VALUE"""),"大森　麻央")</f>
        <v>大森　麻央</v>
      </c>
      <c r="C26" s="5" t="str">
        <f>IFERROR(__xludf.DUMMYFUNCTION("""COMPUTED_VALUE"""),"おおもり　まお")</f>
        <v>おおもり　まお</v>
      </c>
      <c r="D26" s="5">
        <f>IFERROR(__xludf.DUMMYFUNCTION("""COMPUTED_VALUE"""),1.0)</f>
        <v>1</v>
      </c>
      <c r="E26" s="5" t="str">
        <f>IFERROR(__xludf.DUMMYFUNCTION("""COMPUTED_VALUE"""),"女")</f>
        <v>女</v>
      </c>
      <c r="F26" s="5" t="str">
        <f>IFERROR(__xludf.DUMMYFUNCTION("""COMPUTED_VALUE"""),"×欠場")</f>
        <v>×欠場</v>
      </c>
      <c r="G26" s="5" t="str">
        <f>IFERROR(__xludf.DUMMYFUNCTION("""COMPUTED_VALUE"""),"×欠場")</f>
        <v>×欠場</v>
      </c>
      <c r="H26" s="5"/>
      <c r="I26" s="5" t="str">
        <f>IFERROR(__xludf.DUMMYFUNCTION("""COMPUTED_VALUE"""),"×参加しない")</f>
        <v>×参加しない</v>
      </c>
      <c r="J26" s="5"/>
      <c r="K26" s="12">
        <f t="shared" si="2"/>
        <v>0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>
        <f>IFERROR(__xludf.DUMMYFUNCTION("""COMPUTED_VALUE"""),336414.0)</f>
        <v>336414</v>
      </c>
      <c r="B27" s="5" t="str">
        <f>IFERROR(__xludf.DUMMYFUNCTION("""COMPUTED_VALUE"""),"高井　美希")</f>
        <v>高井　美希</v>
      </c>
      <c r="C27" s="5" t="str">
        <f>IFERROR(__xludf.DUMMYFUNCTION("""COMPUTED_VALUE"""),"たかい　みき")</f>
        <v>たかい　みき</v>
      </c>
      <c r="D27" s="5">
        <f>IFERROR(__xludf.DUMMYFUNCTION("""COMPUTED_VALUE"""),1.0)</f>
        <v>1</v>
      </c>
      <c r="E27" s="5" t="str">
        <f>IFERROR(__xludf.DUMMYFUNCTION("""COMPUTED_VALUE"""),"女")</f>
        <v>女</v>
      </c>
      <c r="F27" s="5" t="str">
        <f>IFERROR(__xludf.DUMMYFUNCTION("""COMPUTED_VALUE"""),"WUF")</f>
        <v>WUF</v>
      </c>
      <c r="G27" s="5" t="str">
        <f>IFERROR(__xludf.DUMMYFUNCTION("""COMPUTED_VALUE"""),"○出場")</f>
        <v>○出場</v>
      </c>
      <c r="H27" s="5">
        <f>IFERROR(__xludf.DUMMYFUNCTION("""COMPUTED_VALUE"""),510614.0)</f>
        <v>510614</v>
      </c>
      <c r="I27" s="5" t="str">
        <f>IFERROR(__xludf.DUMMYFUNCTION("""COMPUTED_VALUE"""),"○参加する")</f>
        <v>○参加する</v>
      </c>
      <c r="J27" s="5"/>
      <c r="K27" s="12">
        <f t="shared" si="2"/>
        <v>1</v>
      </c>
    </row>
    <row r="28" ht="19.5" customHeight="1">
      <c r="A28" s="5">
        <f>IFERROR(__xludf.DUMMYFUNCTION("""COMPUTED_VALUE"""),236401.0)</f>
        <v>236401</v>
      </c>
      <c r="B28" s="5" t="str">
        <f>IFERROR(__xludf.DUMMYFUNCTION("""COMPUTED_VALUE"""),"大久保咲紀")</f>
        <v>大久保咲紀</v>
      </c>
      <c r="C28" s="5" t="str">
        <f>IFERROR(__xludf.DUMMYFUNCTION("""COMPUTED_VALUE"""),"おおくぼさき")</f>
        <v>おおくぼさき</v>
      </c>
      <c r="D28" s="5">
        <f>IFERROR(__xludf.DUMMYFUNCTION("""COMPUTED_VALUE"""),2.0)</f>
        <v>2</v>
      </c>
      <c r="E28" s="5" t="str">
        <f>IFERROR(__xludf.DUMMYFUNCTION("""COMPUTED_VALUE"""),"女")</f>
        <v>女</v>
      </c>
      <c r="F28" s="5" t="str">
        <f>IFERROR(__xludf.DUMMYFUNCTION("""COMPUTED_VALUE"""),"×欠場")</f>
        <v>×欠場</v>
      </c>
      <c r="G28" s="5" t="str">
        <f>IFERROR(__xludf.DUMMYFUNCTION("""COMPUTED_VALUE"""),"×欠場")</f>
        <v>×欠場</v>
      </c>
      <c r="H28" s="5"/>
      <c r="I28" s="5" t="str">
        <f>IFERROR(__xludf.DUMMYFUNCTION("""COMPUTED_VALUE"""),"×参加しない")</f>
        <v>×参加しない</v>
      </c>
      <c r="J28" s="5"/>
      <c r="K28" s="12">
        <f t="shared" si="2"/>
        <v>0</v>
      </c>
    </row>
    <row r="29" ht="19.5" customHeight="1">
      <c r="A29" s="5">
        <f>IFERROR(__xludf.DUMMYFUNCTION("""COMPUTED_VALUE"""),236402.0)</f>
        <v>236402</v>
      </c>
      <c r="B29" s="5" t="str">
        <f>IFERROR(__xludf.DUMMYFUNCTION("""COMPUTED_VALUE"""),"園木ひとみ")</f>
        <v>園木ひとみ</v>
      </c>
      <c r="C29" s="5" t="str">
        <f>IFERROR(__xludf.DUMMYFUNCTION("""COMPUTED_VALUE"""),"そのきひとみ")</f>
        <v>そのきひとみ</v>
      </c>
      <c r="D29" s="5">
        <f>IFERROR(__xludf.DUMMYFUNCTION("""COMPUTED_VALUE"""),2.0)</f>
        <v>2</v>
      </c>
      <c r="E29" s="5" t="str">
        <f>IFERROR(__xludf.DUMMYFUNCTION("""COMPUTED_VALUE"""),"女")</f>
        <v>女</v>
      </c>
      <c r="F29" s="5" t="str">
        <f>IFERROR(__xludf.DUMMYFUNCTION("""COMPUTED_VALUE"""),"×欠場")</f>
        <v>×欠場</v>
      </c>
      <c r="G29" s="5" t="str">
        <f>IFERROR(__xludf.DUMMYFUNCTION("""COMPUTED_VALUE"""),"×欠場")</f>
        <v>×欠場</v>
      </c>
      <c r="H29" s="5"/>
      <c r="I29" s="5" t="str">
        <f>IFERROR(__xludf.DUMMYFUNCTION("""COMPUTED_VALUE"""),"×参加しない")</f>
        <v>×参加しない</v>
      </c>
      <c r="J29" s="5"/>
      <c r="K29" s="12">
        <f t="shared" si="2"/>
        <v>0</v>
      </c>
    </row>
    <row r="30" ht="19.5" customHeight="1">
      <c r="A30" s="5">
        <f>IFERROR(__xludf.DUMMYFUNCTION("""COMPUTED_VALUE"""),236404.0)</f>
        <v>236404</v>
      </c>
      <c r="B30" s="5" t="str">
        <f>IFERROR(__xludf.DUMMYFUNCTION("""COMPUTED_VALUE"""),"長沼遥香")</f>
        <v>長沼遥香</v>
      </c>
      <c r="C30" s="5" t="str">
        <f>IFERROR(__xludf.DUMMYFUNCTION("""COMPUTED_VALUE"""),"ながぬまはるか")</f>
        <v>ながぬまはるか</v>
      </c>
      <c r="D30" s="5">
        <f>IFERROR(__xludf.DUMMYFUNCTION("""COMPUTED_VALUE"""),2.0)</f>
        <v>2</v>
      </c>
      <c r="E30" s="5" t="str">
        <f>IFERROR(__xludf.DUMMYFUNCTION("""COMPUTED_VALUE"""),"女")</f>
        <v>女</v>
      </c>
      <c r="F30" s="5" t="str">
        <f>IFERROR(__xludf.DUMMYFUNCTION("""COMPUTED_VALUE"""),"×欠場")</f>
        <v>×欠場</v>
      </c>
      <c r="G30" s="5" t="str">
        <f>IFERROR(__xludf.DUMMYFUNCTION("""COMPUTED_VALUE"""),"×欠場")</f>
        <v>×欠場</v>
      </c>
      <c r="H30" s="5"/>
      <c r="I30" s="5" t="str">
        <f>IFERROR(__xludf.DUMMYFUNCTION("""COMPUTED_VALUE"""),"×参加しない")</f>
        <v>×参加しない</v>
      </c>
      <c r="J30" s="5"/>
      <c r="K30" s="12">
        <f t="shared" si="2"/>
        <v>0</v>
      </c>
    </row>
    <row r="31" ht="19.5" customHeight="1">
      <c r="A31" s="5">
        <f>IFERROR(__xludf.DUMMYFUNCTION("""COMPUTED_VALUE"""),236406.0)</f>
        <v>236406</v>
      </c>
      <c r="B31" s="5" t="str">
        <f>IFERROR(__xludf.DUMMYFUNCTION("""COMPUTED_VALUE"""),"深澤希")</f>
        <v>深澤希</v>
      </c>
      <c r="C31" s="5" t="str">
        <f>IFERROR(__xludf.DUMMYFUNCTION("""COMPUTED_VALUE"""),"ふかさわのぞみ")</f>
        <v>ふかさわのぞみ</v>
      </c>
      <c r="D31" s="5">
        <f>IFERROR(__xludf.DUMMYFUNCTION("""COMPUTED_VALUE"""),2.0)</f>
        <v>2</v>
      </c>
      <c r="E31" s="5" t="str">
        <f>IFERROR(__xludf.DUMMYFUNCTION("""COMPUTED_VALUE"""),"女")</f>
        <v>女</v>
      </c>
      <c r="F31" s="5" t="str">
        <f>IFERROR(__xludf.DUMMYFUNCTION("""COMPUTED_VALUE"""),"×欠場")</f>
        <v>×欠場</v>
      </c>
      <c r="G31" s="5" t="str">
        <f>IFERROR(__xludf.DUMMYFUNCTION("""COMPUTED_VALUE"""),"×欠場")</f>
        <v>×欠場</v>
      </c>
      <c r="H31" s="5"/>
      <c r="I31" s="5" t="str">
        <f>IFERROR(__xludf.DUMMYFUNCTION("""COMPUTED_VALUE"""),"×参加しない")</f>
        <v>×参加しない</v>
      </c>
      <c r="J31" s="5"/>
      <c r="K31" s="12">
        <f t="shared" si="2"/>
        <v>0</v>
      </c>
    </row>
    <row r="32" ht="19.5" customHeight="1">
      <c r="A32" s="5">
        <f>IFERROR(__xludf.DUMMYFUNCTION("""COMPUTED_VALUE"""),236407.0)</f>
        <v>236407</v>
      </c>
      <c r="B32" s="5" t="str">
        <f>IFERROR(__xludf.DUMMYFUNCTION("""COMPUTED_VALUE"""),"津端詩織")</f>
        <v>津端詩織</v>
      </c>
      <c r="C32" s="5" t="str">
        <f>IFERROR(__xludf.DUMMYFUNCTION("""COMPUTED_VALUE"""),"つばたしおり")</f>
        <v>つばたしおり</v>
      </c>
      <c r="D32" s="5">
        <f>IFERROR(__xludf.DUMMYFUNCTION("""COMPUTED_VALUE"""),2.0)</f>
        <v>2</v>
      </c>
      <c r="E32" s="5" t="str">
        <f>IFERROR(__xludf.DUMMYFUNCTION("""COMPUTED_VALUE"""),"女")</f>
        <v>女</v>
      </c>
      <c r="F32" s="5" t="str">
        <f>IFERROR(__xludf.DUMMYFUNCTION("""COMPUTED_VALUE"""),"×欠場")</f>
        <v>×欠場</v>
      </c>
      <c r="G32" s="5" t="str">
        <f>IFERROR(__xludf.DUMMYFUNCTION("""COMPUTED_VALUE"""),"×欠場")</f>
        <v>×欠場</v>
      </c>
      <c r="H32" s="5"/>
      <c r="I32" s="5" t="str">
        <f>IFERROR(__xludf.DUMMYFUNCTION("""COMPUTED_VALUE"""),"×参加しない")</f>
        <v>×参加しない</v>
      </c>
      <c r="J32" s="5"/>
      <c r="K32" s="12">
        <f t="shared" si="2"/>
        <v>0</v>
      </c>
    </row>
    <row r="33" ht="19.5" customHeight="1">
      <c r="A33" s="5">
        <f>IFERROR(__xludf.DUMMYFUNCTION("""COMPUTED_VALUE"""),136402.0)</f>
        <v>136402</v>
      </c>
      <c r="B33" s="5" t="str">
        <f>IFERROR(__xludf.DUMMYFUNCTION("""COMPUTED_VALUE"""),"兼松海琴")</f>
        <v>兼松海琴</v>
      </c>
      <c r="C33" s="5" t="str">
        <f>IFERROR(__xludf.DUMMYFUNCTION("""COMPUTED_VALUE"""),"かねまつみこと")</f>
        <v>かねまつみこと</v>
      </c>
      <c r="D33" s="5">
        <f>IFERROR(__xludf.DUMMYFUNCTION("""COMPUTED_VALUE"""),3.0)</f>
        <v>3</v>
      </c>
      <c r="E33" s="5" t="str">
        <f>IFERROR(__xludf.DUMMYFUNCTION("""COMPUTED_VALUE"""),"女")</f>
        <v>女</v>
      </c>
      <c r="F33" s="5" t="str">
        <f>IFERROR(__xludf.DUMMYFUNCTION("""COMPUTED_VALUE"""),"×欠場")</f>
        <v>×欠場</v>
      </c>
      <c r="G33" s="5" t="str">
        <f>IFERROR(__xludf.DUMMYFUNCTION("""COMPUTED_VALUE"""),"×欠場")</f>
        <v>×欠場</v>
      </c>
      <c r="H33" s="5"/>
      <c r="I33" s="5" t="str">
        <f>IFERROR(__xludf.DUMMYFUNCTION("""COMPUTED_VALUE"""),"×参加しない")</f>
        <v>×参加しない</v>
      </c>
      <c r="J33" s="5"/>
      <c r="K33" s="12">
        <f t="shared" si="2"/>
        <v>0</v>
      </c>
    </row>
    <row r="34" ht="19.5" customHeight="1">
      <c r="A34" s="5">
        <f>IFERROR(__xludf.DUMMYFUNCTION("""COMPUTED_VALUE"""),136403.0)</f>
        <v>136403</v>
      </c>
      <c r="B34" s="5" t="str">
        <f>IFERROR(__xludf.DUMMYFUNCTION("""COMPUTED_VALUE"""),"堀口優奈")</f>
        <v>堀口優奈</v>
      </c>
      <c r="C34" s="5" t="str">
        <f>IFERROR(__xludf.DUMMYFUNCTION("""COMPUTED_VALUE"""),"ほりぐちゆうな")</f>
        <v>ほりぐちゆうな</v>
      </c>
      <c r="D34" s="5">
        <f>IFERROR(__xludf.DUMMYFUNCTION("""COMPUTED_VALUE"""),3.0)</f>
        <v>3</v>
      </c>
      <c r="E34" s="5" t="str">
        <f>IFERROR(__xludf.DUMMYFUNCTION("""COMPUTED_VALUE"""),"女")</f>
        <v>女</v>
      </c>
      <c r="F34" s="5" t="str">
        <f>IFERROR(__xludf.DUMMYFUNCTION("""COMPUTED_VALUE"""),"×欠場")</f>
        <v>×欠場</v>
      </c>
      <c r="G34" s="5" t="str">
        <f>IFERROR(__xludf.DUMMYFUNCTION("""COMPUTED_VALUE"""),"×欠場")</f>
        <v>×欠場</v>
      </c>
      <c r="H34" s="5"/>
      <c r="I34" s="5" t="str">
        <f>IFERROR(__xludf.DUMMYFUNCTION("""COMPUTED_VALUE"""),"×参加しない")</f>
        <v>×参加しない</v>
      </c>
      <c r="J34" s="5"/>
      <c r="K34" s="12">
        <f t="shared" si="2"/>
        <v>0</v>
      </c>
    </row>
    <row r="35" ht="19.5" customHeight="1">
      <c r="A35" s="5">
        <f>IFERROR(__xludf.DUMMYFUNCTION("""COMPUTED_VALUE"""),136408.0)</f>
        <v>136408</v>
      </c>
      <c r="B35" s="5" t="str">
        <f>IFERROR(__xludf.DUMMYFUNCTION("""COMPUTED_VALUE"""),"福島瑞花")</f>
        <v>福島瑞花</v>
      </c>
      <c r="C35" s="5" t="str">
        <f>IFERROR(__xludf.DUMMYFUNCTION("""COMPUTED_VALUE"""),"ふくしまみずか")</f>
        <v>ふくしまみずか</v>
      </c>
      <c r="D35" s="5">
        <f>IFERROR(__xludf.DUMMYFUNCTION("""COMPUTED_VALUE"""),3.0)</f>
        <v>3</v>
      </c>
      <c r="E35" s="5" t="str">
        <f>IFERROR(__xludf.DUMMYFUNCTION("""COMPUTED_VALUE"""),"女")</f>
        <v>女</v>
      </c>
      <c r="F35" s="5" t="str">
        <f>IFERROR(__xludf.DUMMYFUNCTION("""COMPUTED_VALUE"""),"×欠場")</f>
        <v>×欠場</v>
      </c>
      <c r="G35" s="5" t="str">
        <f>IFERROR(__xludf.DUMMYFUNCTION("""COMPUTED_VALUE"""),"×欠場")</f>
        <v>×欠場</v>
      </c>
      <c r="H35" s="5"/>
      <c r="I35" s="5" t="str">
        <f>IFERROR(__xludf.DUMMYFUNCTION("""COMPUTED_VALUE"""),"×参加しない")</f>
        <v>×参加しない</v>
      </c>
      <c r="J35" s="5"/>
      <c r="K35" s="12">
        <f t="shared" si="2"/>
        <v>0</v>
      </c>
    </row>
    <row r="36" ht="19.5" customHeight="1">
      <c r="A36" s="5">
        <f>IFERROR(__xludf.DUMMYFUNCTION("""COMPUTED_VALUE"""),136411.0)</f>
        <v>136411</v>
      </c>
      <c r="B36" s="5" t="str">
        <f>IFERROR(__xludf.DUMMYFUNCTION("""COMPUTED_VALUE"""),"安田佳奈")</f>
        <v>安田佳奈</v>
      </c>
      <c r="C36" s="5" t="str">
        <f>IFERROR(__xludf.DUMMYFUNCTION("""COMPUTED_VALUE"""),"やすだかな")</f>
        <v>やすだかな</v>
      </c>
      <c r="D36" s="5">
        <f>IFERROR(__xludf.DUMMYFUNCTION("""COMPUTED_VALUE"""),3.0)</f>
        <v>3</v>
      </c>
      <c r="E36" s="5" t="str">
        <f>IFERROR(__xludf.DUMMYFUNCTION("""COMPUTED_VALUE"""),"女")</f>
        <v>女</v>
      </c>
      <c r="F36" s="5" t="str">
        <f>IFERROR(__xludf.DUMMYFUNCTION("""COMPUTED_VALUE"""),"WUA")</f>
        <v>WUA</v>
      </c>
      <c r="G36" s="5" t="str">
        <f>IFERROR(__xludf.DUMMYFUNCTION("""COMPUTED_VALUE"""),"○出場")</f>
        <v>○出場</v>
      </c>
      <c r="H36" s="5">
        <f>IFERROR(__xludf.DUMMYFUNCTION("""COMPUTED_VALUE"""),519522.0)</f>
        <v>519522</v>
      </c>
      <c r="I36" s="5" t="str">
        <f>IFERROR(__xludf.DUMMYFUNCTION("""COMPUTED_VALUE"""),"×参加しない")</f>
        <v>×参加しない</v>
      </c>
      <c r="J36" s="5"/>
      <c r="K36" s="12">
        <f t="shared" si="2"/>
        <v>1</v>
      </c>
    </row>
    <row r="37" ht="19.5" customHeight="1">
      <c r="A37" s="5">
        <f>IFERROR(__xludf.DUMMYFUNCTION("""COMPUTED_VALUE"""),136412.0)</f>
        <v>136412</v>
      </c>
      <c r="B37" s="5" t="str">
        <f>IFERROR(__xludf.DUMMYFUNCTION("""COMPUTED_VALUE"""),"原田瑞歩")</f>
        <v>原田瑞歩</v>
      </c>
      <c r="C37" s="5" t="str">
        <f>IFERROR(__xludf.DUMMYFUNCTION("""COMPUTED_VALUE"""),"はらだみずほ")</f>
        <v>はらだみずほ</v>
      </c>
      <c r="D37" s="5">
        <f>IFERROR(__xludf.DUMMYFUNCTION("""COMPUTED_VALUE"""),3.0)</f>
        <v>3</v>
      </c>
      <c r="E37" s="5" t="str">
        <f>IFERROR(__xludf.DUMMYFUNCTION("""COMPUTED_VALUE"""),"女")</f>
        <v>女</v>
      </c>
      <c r="F37" s="5" t="str">
        <f>IFERROR(__xludf.DUMMYFUNCTION("""COMPUTED_VALUE"""),"×欠場")</f>
        <v>×欠場</v>
      </c>
      <c r="G37" s="5" t="str">
        <f>IFERROR(__xludf.DUMMYFUNCTION("""COMPUTED_VALUE"""),"×欠場")</f>
        <v>×欠場</v>
      </c>
      <c r="H37" s="5"/>
      <c r="I37" s="5" t="str">
        <f>IFERROR(__xludf.DUMMYFUNCTION("""COMPUTED_VALUE"""),"×参加しない")</f>
        <v>×参加しない</v>
      </c>
      <c r="J37" s="5"/>
      <c r="K37" s="12">
        <f t="shared" si="2"/>
        <v>0</v>
      </c>
    </row>
    <row r="38" ht="19.5" customHeight="1">
      <c r="A38" s="5">
        <f>IFERROR(__xludf.DUMMYFUNCTION("""COMPUTED_VALUE"""),136414.0)</f>
        <v>136414</v>
      </c>
      <c r="B38" s="5" t="str">
        <f>IFERROR(__xludf.DUMMYFUNCTION("""COMPUTED_VALUE"""),"西川真由")</f>
        <v>西川真由</v>
      </c>
      <c r="C38" s="5" t="str">
        <f>IFERROR(__xludf.DUMMYFUNCTION("""COMPUTED_VALUE"""),"にしかわまゆ")</f>
        <v>にしかわまゆ</v>
      </c>
      <c r="D38" s="5">
        <f>IFERROR(__xludf.DUMMYFUNCTION("""COMPUTED_VALUE"""),3.0)</f>
        <v>3</v>
      </c>
      <c r="E38" s="5" t="str">
        <f>IFERROR(__xludf.DUMMYFUNCTION("""COMPUTED_VALUE"""),"女")</f>
        <v>女</v>
      </c>
      <c r="F38" s="5" t="str">
        <f>IFERROR(__xludf.DUMMYFUNCTION("""COMPUTED_VALUE"""),"WUA")</f>
        <v>WUA</v>
      </c>
      <c r="G38" s="5" t="str">
        <f>IFERROR(__xludf.DUMMYFUNCTION("""COMPUTED_VALUE"""),"○出場")</f>
        <v>○出場</v>
      </c>
      <c r="H38" s="5">
        <f>IFERROR(__xludf.DUMMYFUNCTION("""COMPUTED_VALUE"""),519532.0)</f>
        <v>519532</v>
      </c>
      <c r="I38" s="5" t="str">
        <f>IFERROR(__xludf.DUMMYFUNCTION("""COMPUTED_VALUE"""),"○参加する")</f>
        <v>○参加する</v>
      </c>
      <c r="J38" s="5"/>
      <c r="K38" s="12">
        <f t="shared" si="2"/>
        <v>1</v>
      </c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12">
        <f t="shared" si="2"/>
        <v>0</v>
      </c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12">
        <f t="shared" si="2"/>
        <v>0</v>
      </c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12">
        <f t="shared" si="2"/>
        <v>0</v>
      </c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12">
        <f t="shared" si="2"/>
        <v>0</v>
      </c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12">
        <f t="shared" si="2"/>
        <v>0</v>
      </c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12">
        <f t="shared" si="2"/>
        <v>0</v>
      </c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2">
        <f t="shared" si="2"/>
        <v>0</v>
      </c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2">
        <f t="shared" si="2"/>
        <v>0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1301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7</v>
      </c>
      <c r="E4" s="7">
        <f t="shared" ref="E4:E8" si="1">C4*D4</f>
        <v>59500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1</v>
      </c>
      <c r="E5" s="7">
        <f t="shared" si="1"/>
        <v>8000</v>
      </c>
    </row>
    <row r="6" ht="19.5" customHeight="1">
      <c r="A6" s="2" t="s">
        <v>9</v>
      </c>
      <c r="B6" s="4"/>
      <c r="C6" s="7">
        <v>32700.0</v>
      </c>
      <c r="D6" s="5">
        <f>D4+D5</f>
        <v>8</v>
      </c>
      <c r="E6" s="7">
        <f t="shared" si="1"/>
        <v>261600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1</v>
      </c>
      <c r="E7" s="7">
        <f t="shared" si="1"/>
        <v>4500</v>
      </c>
    </row>
    <row r="8" ht="19.5" customHeight="1">
      <c r="A8" s="2" t="s">
        <v>11</v>
      </c>
      <c r="B8" s="4"/>
      <c r="C8" s="7">
        <v>500.0</v>
      </c>
      <c r="D8" s="5">
        <f>D4-COUNT(H14:H201)</f>
        <v>7</v>
      </c>
      <c r="E8" s="7">
        <f t="shared" si="1"/>
        <v>3500</v>
      </c>
    </row>
    <row r="9" ht="19.5" customHeight="1">
      <c r="A9" s="9"/>
      <c r="B9" s="9"/>
      <c r="C9" s="9"/>
      <c r="D9" s="10" t="s">
        <v>5</v>
      </c>
      <c r="E9" s="11">
        <f>SUM(E4:E8)</f>
        <v>337100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IFERROR(__xludf.DUMMYFUNCTION("FILTER('個人別エントリー'!C2:L1018,'個人別エントリー'!B2:B1018=A1)"),336501.0)</f>
        <v>336501</v>
      </c>
      <c r="B14" s="5" t="str">
        <f>IFERROR(__xludf.DUMMYFUNCTION("""COMPUTED_VALUE"""),"大石涼太")</f>
        <v>大石涼太</v>
      </c>
      <c r="C14" s="5" t="str">
        <f>IFERROR(__xludf.DUMMYFUNCTION("""COMPUTED_VALUE"""),"おおいしりょうた")</f>
        <v>おおいしりょうた</v>
      </c>
      <c r="D14" s="5">
        <f>IFERROR(__xludf.DUMMYFUNCTION("""COMPUTED_VALUE"""),1.0)</f>
        <v>1</v>
      </c>
      <c r="E14" s="5" t="str">
        <f>IFERROR(__xludf.DUMMYFUNCTION("""COMPUTED_VALUE"""),"男")</f>
        <v>男</v>
      </c>
      <c r="F14" s="5" t="str">
        <f>IFERROR(__xludf.DUMMYFUNCTION("""COMPUTED_VALUE"""),"MUF")</f>
        <v>MUF</v>
      </c>
      <c r="G14" s="5" t="str">
        <f>IFERROR(__xludf.DUMMYFUNCTION("""COMPUTED_VALUE"""),"○出場")</f>
        <v>○出場</v>
      </c>
      <c r="H14" s="5"/>
      <c r="I14" s="5" t="str">
        <f>IFERROR(__xludf.DUMMYFUNCTION("""COMPUTED_VALUE"""),"○参加する")</f>
        <v>○参加する</v>
      </c>
      <c r="J14" s="5"/>
      <c r="K14" s="12">
        <f t="shared" ref="K14:K201" si="2">IF(AND(OR(F14="×欠場",F14=""),OR(G14="×欠場",G14="")),0,1)</f>
        <v>1</v>
      </c>
      <c r="M14" s="5" t="str">
        <f>IFERROR(__xludf.DUMMYFUNCTION("FILTER('リレー内容'!$C$2:$K$51,'リレー内容'!$B$2:$B$51=A1)"),"○出場")</f>
        <v>○出場</v>
      </c>
      <c r="N14" s="5" t="str">
        <f>IFERROR(__xludf.DUMMYFUNCTION("""COMPUTED_VALUE"""),"×欠場")</f>
        <v>×欠場</v>
      </c>
      <c r="O14" s="5">
        <f>IFERROR(__xludf.DUMMYFUNCTION("""COMPUTED_VALUE"""),1.0)</f>
        <v>1</v>
      </c>
      <c r="P14" s="5">
        <f>IFERROR(__xludf.DUMMYFUNCTION("""COMPUTED_VALUE"""),0.0)</f>
        <v>0</v>
      </c>
      <c r="Q14" s="5">
        <f>IFERROR(__xludf.DUMMYFUNCTION("""COMPUTED_VALUE"""),0.0)</f>
        <v>0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IFERROR(__xludf.DUMMYFUNCTION("""COMPUTED_VALUE"""),336502.0)</f>
        <v>336502</v>
      </c>
      <c r="B15" s="5" t="str">
        <f>IFERROR(__xludf.DUMMYFUNCTION("""COMPUTED_VALUE"""),"安齋嘉希")</f>
        <v>安齋嘉希</v>
      </c>
      <c r="C15" s="5" t="str">
        <f>IFERROR(__xludf.DUMMYFUNCTION("""COMPUTED_VALUE"""),"あんざいひろき")</f>
        <v>あんざいひろき</v>
      </c>
      <c r="D15" s="5">
        <f>IFERROR(__xludf.DUMMYFUNCTION("""COMPUTED_VALUE"""),1.0)</f>
        <v>1</v>
      </c>
      <c r="E15" s="5" t="str">
        <f>IFERROR(__xludf.DUMMYFUNCTION("""COMPUTED_VALUE"""),"男")</f>
        <v>男</v>
      </c>
      <c r="F15" s="5" t="str">
        <f>IFERROR(__xludf.DUMMYFUNCTION("""COMPUTED_VALUE"""),"MUF")</f>
        <v>MUF</v>
      </c>
      <c r="G15" s="5" t="str">
        <f>IFERROR(__xludf.DUMMYFUNCTION("""COMPUTED_VALUE"""),"○出場")</f>
        <v>○出場</v>
      </c>
      <c r="H15" s="5"/>
      <c r="I15" s="5" t="str">
        <f>IFERROR(__xludf.DUMMYFUNCTION("""COMPUTED_VALUE"""),"○参加する")</f>
        <v>○参加する</v>
      </c>
      <c r="J15" s="5"/>
      <c r="K15" s="12">
        <f t="shared" si="2"/>
        <v>1</v>
      </c>
    </row>
    <row r="16" ht="19.5" customHeight="1">
      <c r="A16" s="5">
        <f>IFERROR(__xludf.DUMMYFUNCTION("""COMPUTED_VALUE"""),336503.0)</f>
        <v>336503</v>
      </c>
      <c r="B16" s="5" t="str">
        <f>IFERROR(__xludf.DUMMYFUNCTION("""COMPUTED_VALUE"""),"牧戸悠生")</f>
        <v>牧戸悠生</v>
      </c>
      <c r="C16" s="5" t="str">
        <f>IFERROR(__xludf.DUMMYFUNCTION("""COMPUTED_VALUE"""),"まきどゆうき")</f>
        <v>まきどゆうき</v>
      </c>
      <c r="D16" s="5">
        <f>IFERROR(__xludf.DUMMYFUNCTION("""COMPUTED_VALUE"""),1.0)</f>
        <v>1</v>
      </c>
      <c r="E16" s="5" t="str">
        <f>IFERROR(__xludf.DUMMYFUNCTION("""COMPUTED_VALUE"""),"男")</f>
        <v>男</v>
      </c>
      <c r="F16" s="5" t="str">
        <f>IFERROR(__xludf.DUMMYFUNCTION("""COMPUTED_VALUE"""),"MUF")</f>
        <v>MUF</v>
      </c>
      <c r="G16" s="5" t="str">
        <f>IFERROR(__xludf.DUMMYFUNCTION("""COMPUTED_VALUE"""),"○出場")</f>
        <v>○出場</v>
      </c>
      <c r="H16" s="5"/>
      <c r="I16" s="5" t="str">
        <f>IFERROR(__xludf.DUMMYFUNCTION("""COMPUTED_VALUE"""),"○参加する")</f>
        <v>○参加する</v>
      </c>
      <c r="J16" s="5"/>
      <c r="K16" s="12">
        <f t="shared" si="2"/>
        <v>1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>
        <f>IFERROR(__xludf.DUMMYFUNCTION("""COMPUTED_VALUE"""),336504.0)</f>
        <v>336504</v>
      </c>
      <c r="B17" s="5" t="str">
        <f>IFERROR(__xludf.DUMMYFUNCTION("""COMPUTED_VALUE"""),"安原佳祐")</f>
        <v>安原佳祐</v>
      </c>
      <c r="C17" s="5" t="str">
        <f>IFERROR(__xludf.DUMMYFUNCTION("""COMPUTED_VALUE"""),"やすはらけいすけ")</f>
        <v>やすはらけいすけ</v>
      </c>
      <c r="D17" s="5">
        <f>IFERROR(__xludf.DUMMYFUNCTION("""COMPUTED_VALUE"""),1.0)</f>
        <v>1</v>
      </c>
      <c r="E17" s="5" t="str">
        <f>IFERROR(__xludf.DUMMYFUNCTION("""COMPUTED_VALUE"""),"男")</f>
        <v>男</v>
      </c>
      <c r="F17" s="5" t="str">
        <f>IFERROR(__xludf.DUMMYFUNCTION("""COMPUTED_VALUE"""),"MUF")</f>
        <v>MUF</v>
      </c>
      <c r="G17" s="5" t="str">
        <f>IFERROR(__xludf.DUMMYFUNCTION("""COMPUTED_VALUE"""),"○出場")</f>
        <v>○出場</v>
      </c>
      <c r="H17" s="5"/>
      <c r="I17" s="5" t="str">
        <f>IFERROR(__xludf.DUMMYFUNCTION("""COMPUTED_VALUE"""),"○参加する")</f>
        <v>○参加する</v>
      </c>
      <c r="J17" s="5"/>
      <c r="K17" s="12">
        <f t="shared" si="2"/>
        <v>1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>
        <f>IFERROR(__xludf.DUMMYFUNCTION("""COMPUTED_VALUE"""),336508.0)</f>
        <v>336508</v>
      </c>
      <c r="B18" s="5" t="str">
        <f>IFERROR(__xludf.DUMMYFUNCTION("""COMPUTED_VALUE"""),"原田康太郎")</f>
        <v>原田康太郎</v>
      </c>
      <c r="C18" s="5" t="str">
        <f>IFERROR(__xludf.DUMMYFUNCTION("""COMPUTED_VALUE"""),"はらだこうたろう")</f>
        <v>はらだこうたろう</v>
      </c>
      <c r="D18" s="5">
        <f>IFERROR(__xludf.DUMMYFUNCTION("""COMPUTED_VALUE"""),1.0)</f>
        <v>1</v>
      </c>
      <c r="E18" s="5" t="str">
        <f>IFERROR(__xludf.DUMMYFUNCTION("""COMPUTED_VALUE"""),"男")</f>
        <v>男</v>
      </c>
      <c r="F18" s="5" t="str">
        <f>IFERROR(__xludf.DUMMYFUNCTION("""COMPUTED_VALUE"""),"MUF")</f>
        <v>MUF</v>
      </c>
      <c r="G18" s="5" t="str">
        <f>IFERROR(__xludf.DUMMYFUNCTION("""COMPUTED_VALUE"""),"○出場")</f>
        <v>○出場</v>
      </c>
      <c r="H18" s="5"/>
      <c r="I18" s="5" t="str">
        <f>IFERROR(__xludf.DUMMYFUNCTION("""COMPUTED_VALUE"""),"○参加する")</f>
        <v>○参加する</v>
      </c>
      <c r="J18" s="5"/>
      <c r="K18" s="12">
        <f t="shared" si="2"/>
        <v>1</v>
      </c>
      <c r="M18" s="5" t="s">
        <v>27</v>
      </c>
      <c r="N18" s="2" t="s">
        <v>1301</v>
      </c>
      <c r="O18" s="4"/>
      <c r="P18" s="2" t="s">
        <v>2332</v>
      </c>
      <c r="Q18" s="3"/>
      <c r="R18" s="3"/>
      <c r="S18" s="3"/>
      <c r="T18" s="3"/>
      <c r="U18" s="4"/>
    </row>
    <row r="19" ht="19.5" customHeight="1">
      <c r="A19" s="5">
        <f>IFERROR(__xludf.DUMMYFUNCTION("""COMPUTED_VALUE"""),336511.0)</f>
        <v>336511</v>
      </c>
      <c r="B19" s="5" t="str">
        <f>IFERROR(__xludf.DUMMYFUNCTION("""COMPUTED_VALUE"""),"長野俊青")</f>
        <v>長野俊青</v>
      </c>
      <c r="C19" s="5" t="str">
        <f>IFERROR(__xludf.DUMMYFUNCTION("""COMPUTED_VALUE"""),"ながのしゅんせい")</f>
        <v>ながのしゅんせい</v>
      </c>
      <c r="D19" s="5">
        <f>IFERROR(__xludf.DUMMYFUNCTION("""COMPUTED_VALUE"""),1.0)</f>
        <v>1</v>
      </c>
      <c r="E19" s="5" t="str">
        <f>IFERROR(__xludf.DUMMYFUNCTION("""COMPUTED_VALUE"""),"男")</f>
        <v>男</v>
      </c>
      <c r="F19" s="5" t="str">
        <f>IFERROR(__xludf.DUMMYFUNCTION("""COMPUTED_VALUE"""),"MUF")</f>
        <v>MUF</v>
      </c>
      <c r="G19" s="5" t="str">
        <f>IFERROR(__xludf.DUMMYFUNCTION("""COMPUTED_VALUE"""),"○出場")</f>
        <v>○出場</v>
      </c>
      <c r="H19" s="5"/>
      <c r="I19" s="5" t="str">
        <f>IFERROR(__xludf.DUMMYFUNCTION("""COMPUTED_VALUE"""),"○参加する")</f>
        <v>○参加する</v>
      </c>
      <c r="J19" s="5"/>
      <c r="K19" s="12">
        <f t="shared" si="2"/>
        <v>1</v>
      </c>
      <c r="M19" s="5" t="s">
        <v>32</v>
      </c>
      <c r="N19" s="2" t="s">
        <v>1034</v>
      </c>
      <c r="O19" s="4"/>
      <c r="P19" s="2" t="s">
        <v>2330</v>
      </c>
      <c r="Q19" s="3"/>
      <c r="R19" s="3"/>
      <c r="S19" s="3"/>
      <c r="T19" s="3"/>
      <c r="U19" s="4"/>
    </row>
    <row r="20" ht="19.5" customHeight="1">
      <c r="A20" s="5">
        <f>IFERROR(__xludf.DUMMYFUNCTION("""COMPUTED_VALUE"""),336513.0)</f>
        <v>336513</v>
      </c>
      <c r="B20" s="5" t="str">
        <f>IFERROR(__xludf.DUMMYFUNCTION("""COMPUTED_VALUE"""),"櫻井亮輔")</f>
        <v>櫻井亮輔</v>
      </c>
      <c r="C20" s="5" t="str">
        <f>IFERROR(__xludf.DUMMYFUNCTION("""COMPUTED_VALUE"""),"さくらいりょうすけ")</f>
        <v>さくらいりょうすけ</v>
      </c>
      <c r="D20" s="5">
        <f>IFERROR(__xludf.DUMMYFUNCTION("""COMPUTED_VALUE"""),1.0)</f>
        <v>1</v>
      </c>
      <c r="E20" s="5" t="str">
        <f>IFERROR(__xludf.DUMMYFUNCTION("""COMPUTED_VALUE"""),"男")</f>
        <v>男</v>
      </c>
      <c r="F20" s="5" t="str">
        <f>IFERROR(__xludf.DUMMYFUNCTION("""COMPUTED_VALUE"""),"MUF")</f>
        <v>MUF</v>
      </c>
      <c r="G20" s="5" t="str">
        <f>IFERROR(__xludf.DUMMYFUNCTION("""COMPUTED_VALUE"""),"○出場")</f>
        <v>○出場</v>
      </c>
      <c r="H20" s="5"/>
      <c r="I20" s="5" t="str">
        <f>IFERROR(__xludf.DUMMYFUNCTION("""COMPUTED_VALUE"""),"○参加する")</f>
        <v>○参加する</v>
      </c>
      <c r="J20" s="5"/>
      <c r="K20" s="12">
        <f t="shared" si="2"/>
        <v>1</v>
      </c>
    </row>
    <row r="21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12">
        <f t="shared" si="2"/>
        <v>0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2">
        <f t="shared" si="2"/>
        <v>0</v>
      </c>
      <c r="M23" s="2" t="str">
        <f>IFERROR(__xludf.DUMMYFUNCTION("FILTER('オフィシャル'!$B$2:$B$65,'オフィシャル'!$A$2:$A$65=A1)"),"相馬哲平")</f>
        <v>相馬哲平</v>
      </c>
      <c r="N23" s="4"/>
      <c r="O23" s="2" t="str">
        <f>IFERROR(__xludf.DUMMYFUNCTION("FILTER('オフィシャル'!$C$2:$C$65,'オフィシャル'!$A$2:$A$65=A1)"),"そうまてっぺい")</f>
        <v>そうまてっぺい</v>
      </c>
      <c r="P23" s="3"/>
      <c r="Q23" s="5" t="str">
        <f>IFERROR(__xludf.DUMMYFUNCTION("FILTER('オフィシャル'!$D$2:$D$65,'オフィシャル'!$A$2:$A$65=A1)"),"男")</f>
        <v>男</v>
      </c>
      <c r="R23" s="2" t="str">
        <f>IFERROR(__xludf.DUMMYFUNCTION("FILTER('オフィシャル'!$E$2:$E$65,'オフィシャル'!$A$2:$A$65=A1)"),"○する")</f>
        <v>○する</v>
      </c>
      <c r="S23" s="4"/>
      <c r="T23" s="14" t="str">
        <f>IFERROR(__xludf.DUMMYFUNCTION("FILTER('オフィシャル'!$F$2:$F$65,'オフィシャル'!$A$2:$A$65=A1)"),"")</f>
        <v/>
      </c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2">
        <f t="shared" si="2"/>
        <v>0</v>
      </c>
      <c r="M24" s="2"/>
      <c r="N24" s="4"/>
      <c r="O24" s="2"/>
      <c r="P24" s="3"/>
      <c r="Q24" s="5"/>
      <c r="R24" s="2"/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12">
        <f t="shared" si="2"/>
        <v>0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12">
        <f t="shared" si="2"/>
        <v>0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12">
        <f t="shared" si="2"/>
        <v>0</v>
      </c>
    </row>
    <row r="28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12">
        <f t="shared" si="2"/>
        <v>0</v>
      </c>
    </row>
    <row r="29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12">
        <f t="shared" si="2"/>
        <v>0</v>
      </c>
    </row>
    <row r="3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12">
        <f t="shared" si="2"/>
        <v>0</v>
      </c>
    </row>
    <row r="31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12">
        <f t="shared" si="2"/>
        <v>0</v>
      </c>
    </row>
    <row r="32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12">
        <f t="shared" si="2"/>
        <v>0</v>
      </c>
    </row>
    <row r="33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12">
        <f t="shared" si="2"/>
        <v>0</v>
      </c>
    </row>
    <row r="34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12">
        <f t="shared" si="2"/>
        <v>0</v>
      </c>
    </row>
    <row r="3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12">
        <f t="shared" si="2"/>
        <v>0</v>
      </c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12">
        <f t="shared" si="2"/>
        <v>0</v>
      </c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12">
        <f t="shared" si="2"/>
        <v>0</v>
      </c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12">
        <f t="shared" si="2"/>
        <v>0</v>
      </c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12">
        <f t="shared" si="2"/>
        <v>0</v>
      </c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12">
        <f t="shared" si="2"/>
        <v>0</v>
      </c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12">
        <f t="shared" si="2"/>
        <v>0</v>
      </c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12">
        <f t="shared" si="2"/>
        <v>0</v>
      </c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12">
        <f t="shared" si="2"/>
        <v>0</v>
      </c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12">
        <f t="shared" si="2"/>
        <v>0</v>
      </c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2">
        <f t="shared" si="2"/>
        <v>0</v>
      </c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2">
        <f t="shared" si="2"/>
        <v>0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9.33"/>
    <col customWidth="1" min="2" max="2" width="21.0"/>
    <col customWidth="1" min="3" max="11" width="6.33"/>
    <col customWidth="1" min="12" max="12" width="74.0"/>
    <col customWidth="1" min="13" max="26" width="10.44"/>
  </cols>
  <sheetData>
    <row r="1" ht="18.0" customHeight="1">
      <c r="A1" s="38" t="s">
        <v>45</v>
      </c>
      <c r="B1" s="38" t="s">
        <v>46</v>
      </c>
      <c r="C1" s="38" t="s">
        <v>25</v>
      </c>
      <c r="D1" s="38" t="s">
        <v>26</v>
      </c>
      <c r="E1" s="38" t="s">
        <v>2146</v>
      </c>
      <c r="F1" s="38" t="s">
        <v>2147</v>
      </c>
      <c r="G1" s="38" t="s">
        <v>2148</v>
      </c>
      <c r="H1" s="38" t="s">
        <v>2149</v>
      </c>
      <c r="I1" s="38" t="s">
        <v>2150</v>
      </c>
      <c r="J1" s="38" t="s">
        <v>2151</v>
      </c>
      <c r="K1" s="38" t="s">
        <v>2152</v>
      </c>
      <c r="L1" s="38" t="s">
        <v>2153</v>
      </c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ht="18.0" customHeight="1">
      <c r="A2" s="28">
        <v>101.0</v>
      </c>
      <c r="B2" s="28" t="s">
        <v>0</v>
      </c>
      <c r="C2" s="28" t="s">
        <v>53</v>
      </c>
      <c r="D2" s="28" t="s">
        <v>57</v>
      </c>
      <c r="E2" s="28">
        <v>0.0</v>
      </c>
      <c r="F2" s="28">
        <v>0.0</v>
      </c>
      <c r="G2" s="28">
        <v>0.0</v>
      </c>
      <c r="H2" s="28">
        <v>0.0</v>
      </c>
      <c r="I2" s="28">
        <v>1.0</v>
      </c>
      <c r="J2" s="28">
        <v>2.0</v>
      </c>
      <c r="K2" s="28">
        <v>0.0</v>
      </c>
      <c r="L2" s="28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ht="18.0" customHeight="1">
      <c r="A3" s="28">
        <v>102.0</v>
      </c>
      <c r="B3" s="28" t="s">
        <v>139</v>
      </c>
      <c r="C3" s="28" t="s">
        <v>53</v>
      </c>
      <c r="D3" s="28" t="s">
        <v>53</v>
      </c>
      <c r="E3" s="28">
        <v>11.0</v>
      </c>
      <c r="F3" s="28">
        <v>1.0</v>
      </c>
      <c r="G3" s="28">
        <v>4.0</v>
      </c>
      <c r="H3" s="28">
        <v>0.0</v>
      </c>
      <c r="I3" s="28">
        <v>0.0</v>
      </c>
      <c r="J3" s="28">
        <v>1.0</v>
      </c>
      <c r="K3" s="28">
        <v>0.0</v>
      </c>
      <c r="L3" s="28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ht="18.0" customHeight="1">
      <c r="A4" s="28">
        <v>103.0</v>
      </c>
      <c r="B4" s="28" t="s">
        <v>329</v>
      </c>
      <c r="C4" s="28" t="s">
        <v>53</v>
      </c>
      <c r="D4" s="28" t="s">
        <v>53</v>
      </c>
      <c r="E4" s="28">
        <v>4.0</v>
      </c>
      <c r="F4" s="28">
        <v>2.0</v>
      </c>
      <c r="G4" s="28">
        <v>0.0</v>
      </c>
      <c r="H4" s="28">
        <v>0.0</v>
      </c>
      <c r="I4" s="28">
        <v>0.0</v>
      </c>
      <c r="J4" s="28">
        <v>0.0</v>
      </c>
      <c r="K4" s="28">
        <v>0.0</v>
      </c>
      <c r="L4" s="39" t="s">
        <v>2154</v>
      </c>
      <c r="M4" s="40" t="s">
        <v>2155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ht="18.0" customHeight="1">
      <c r="A5" s="28">
        <v>142.0</v>
      </c>
      <c r="B5" s="28" t="s">
        <v>376</v>
      </c>
      <c r="C5" s="28" t="s">
        <v>57</v>
      </c>
      <c r="D5" s="28" t="s">
        <v>57</v>
      </c>
      <c r="E5" s="28">
        <v>0.0</v>
      </c>
      <c r="F5" s="28">
        <v>0.0</v>
      </c>
      <c r="G5" s="28">
        <v>0.0</v>
      </c>
      <c r="H5" s="28">
        <v>0.0</v>
      </c>
      <c r="I5" s="28">
        <v>0.0</v>
      </c>
      <c r="J5" s="28">
        <v>1.0</v>
      </c>
      <c r="K5" s="28">
        <v>0.0</v>
      </c>
      <c r="L5" s="28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ht="18.0" customHeight="1">
      <c r="A6" s="28">
        <v>144.0</v>
      </c>
      <c r="B6" s="28" t="s">
        <v>401</v>
      </c>
      <c r="C6" s="28" t="s">
        <v>57</v>
      </c>
      <c r="D6" s="28" t="s">
        <v>57</v>
      </c>
      <c r="E6" s="28">
        <v>0.0</v>
      </c>
      <c r="F6" s="28">
        <v>0.0</v>
      </c>
      <c r="G6" s="28">
        <v>0.0</v>
      </c>
      <c r="H6" s="28">
        <v>1.0</v>
      </c>
      <c r="I6" s="28">
        <v>0.0</v>
      </c>
      <c r="J6" s="28">
        <v>0.0</v>
      </c>
      <c r="K6" s="28">
        <v>0.0</v>
      </c>
      <c r="L6" s="28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ht="18.0" customHeight="1">
      <c r="A7" s="28">
        <v>151.0</v>
      </c>
      <c r="B7" s="28" t="s">
        <v>412</v>
      </c>
      <c r="C7" s="28" t="s">
        <v>53</v>
      </c>
      <c r="D7" s="28" t="s">
        <v>57</v>
      </c>
      <c r="E7" s="28">
        <v>0.0</v>
      </c>
      <c r="F7" s="28">
        <v>0.0</v>
      </c>
      <c r="G7" s="28">
        <v>0.0</v>
      </c>
      <c r="H7" s="28">
        <v>0.0</v>
      </c>
      <c r="I7" s="28">
        <v>0.0</v>
      </c>
      <c r="J7" s="28">
        <v>0.0</v>
      </c>
      <c r="K7" s="28">
        <v>0.0</v>
      </c>
      <c r="L7" s="41" t="s">
        <v>2156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ht="18.0" customHeight="1">
      <c r="A8" s="28">
        <v>152.0</v>
      </c>
      <c r="B8" s="28" t="s">
        <v>415</v>
      </c>
      <c r="C8" s="28" t="s">
        <v>57</v>
      </c>
      <c r="D8" s="28" t="s">
        <v>57</v>
      </c>
      <c r="E8" s="28">
        <v>0.0</v>
      </c>
      <c r="F8" s="28">
        <v>0.0</v>
      </c>
      <c r="G8" s="28">
        <v>0.0</v>
      </c>
      <c r="H8" s="28">
        <v>0.0</v>
      </c>
      <c r="I8" s="28">
        <v>0.0</v>
      </c>
      <c r="J8" s="28">
        <v>0.0</v>
      </c>
      <c r="K8" s="28">
        <v>0.0</v>
      </c>
      <c r="L8" s="41" t="s">
        <v>2154</v>
      </c>
      <c r="M8" s="40" t="s">
        <v>2155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ht="18.0" customHeight="1">
      <c r="A9" s="28">
        <v>201.0</v>
      </c>
      <c r="B9" s="28" t="s">
        <v>418</v>
      </c>
      <c r="C9" s="28" t="s">
        <v>53</v>
      </c>
      <c r="D9" s="28" t="s">
        <v>57</v>
      </c>
      <c r="E9" s="28">
        <v>1.0</v>
      </c>
      <c r="F9" s="28">
        <v>0.0</v>
      </c>
      <c r="G9" s="28">
        <v>0.0</v>
      </c>
      <c r="H9" s="28">
        <v>0.0</v>
      </c>
      <c r="I9" s="28">
        <v>1.0</v>
      </c>
      <c r="J9" s="28">
        <v>0.0</v>
      </c>
      <c r="K9" s="28">
        <v>0.0</v>
      </c>
      <c r="L9" s="28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ht="18.0" customHeight="1">
      <c r="A10" s="28">
        <v>203.0</v>
      </c>
      <c r="B10" s="28" t="s">
        <v>427</v>
      </c>
      <c r="C10" s="28" t="s">
        <v>53</v>
      </c>
      <c r="D10" s="28" t="s">
        <v>53</v>
      </c>
      <c r="E10" s="28">
        <v>4.0</v>
      </c>
      <c r="F10" s="28">
        <v>0.0</v>
      </c>
      <c r="G10" s="28">
        <v>0.0</v>
      </c>
      <c r="H10" s="28">
        <v>1.0</v>
      </c>
      <c r="I10" s="28">
        <v>0.0</v>
      </c>
      <c r="J10" s="28">
        <v>0.0</v>
      </c>
      <c r="K10" s="28">
        <v>0.0</v>
      </c>
      <c r="L10" s="28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ht="18.0" customHeight="1">
      <c r="A11" s="28">
        <v>302.0</v>
      </c>
      <c r="B11" s="28" t="s">
        <v>467</v>
      </c>
      <c r="C11" s="28" t="s">
        <v>57</v>
      </c>
      <c r="D11" s="28" t="s">
        <v>53</v>
      </c>
      <c r="E11" s="28">
        <v>0.0</v>
      </c>
      <c r="F11" s="28">
        <v>1.0</v>
      </c>
      <c r="G11" s="28">
        <v>0.0</v>
      </c>
      <c r="H11" s="28">
        <v>0.0</v>
      </c>
      <c r="I11" s="28">
        <v>0.0</v>
      </c>
      <c r="J11" s="28">
        <v>0.0</v>
      </c>
      <c r="K11" s="28">
        <v>0.0</v>
      </c>
      <c r="L11" s="41" t="s">
        <v>2157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ht="18.0" customHeight="1">
      <c r="A12" s="28">
        <v>303.0</v>
      </c>
      <c r="B12" s="28" t="s">
        <v>482</v>
      </c>
      <c r="C12" s="28" t="s">
        <v>53</v>
      </c>
      <c r="D12" s="28" t="s">
        <v>57</v>
      </c>
      <c r="E12" s="28">
        <v>5.0</v>
      </c>
      <c r="F12" s="28">
        <v>1.0</v>
      </c>
      <c r="G12" s="28">
        <v>1.0</v>
      </c>
      <c r="H12" s="28">
        <v>0.0</v>
      </c>
      <c r="I12" s="28">
        <v>0.0</v>
      </c>
      <c r="J12" s="28">
        <v>0.0</v>
      </c>
      <c r="K12" s="28">
        <v>0.0</v>
      </c>
      <c r="L12" s="42" t="s">
        <v>2158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ht="18.0" customHeight="1">
      <c r="A13" s="28">
        <v>305.0</v>
      </c>
      <c r="B13" s="28" t="s">
        <v>563</v>
      </c>
      <c r="C13" s="28" t="s">
        <v>53</v>
      </c>
      <c r="D13" s="28" t="s">
        <v>53</v>
      </c>
      <c r="E13" s="28">
        <v>6.0</v>
      </c>
      <c r="F13" s="28">
        <v>1.0</v>
      </c>
      <c r="G13" s="28">
        <v>1.0</v>
      </c>
      <c r="H13" s="28">
        <v>0.0</v>
      </c>
      <c r="I13" s="28">
        <v>0.0</v>
      </c>
      <c r="J13" s="28">
        <v>0.0</v>
      </c>
      <c r="K13" s="28">
        <v>0.0</v>
      </c>
      <c r="L13" s="42" t="s">
        <v>2159</v>
      </c>
      <c r="M13" s="40" t="s">
        <v>2160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ht="18.0" customHeight="1">
      <c r="A14" s="28">
        <v>307.0</v>
      </c>
      <c r="B14" s="28" t="s">
        <v>622</v>
      </c>
      <c r="C14" s="28" t="s">
        <v>53</v>
      </c>
      <c r="D14" s="28" t="s">
        <v>53</v>
      </c>
      <c r="E14" s="28">
        <v>12.0</v>
      </c>
      <c r="F14" s="28">
        <v>2.0</v>
      </c>
      <c r="G14" s="28">
        <v>0.0</v>
      </c>
      <c r="H14" s="28">
        <v>0.0</v>
      </c>
      <c r="I14" s="28">
        <v>0.0</v>
      </c>
      <c r="J14" s="28">
        <v>0.0</v>
      </c>
      <c r="K14" s="28">
        <v>0.0</v>
      </c>
      <c r="L14" s="41" t="s">
        <v>2161</v>
      </c>
      <c r="M14" s="40" t="s">
        <v>2162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ht="18.0" customHeight="1">
      <c r="A15" s="28">
        <v>309.0</v>
      </c>
      <c r="B15" s="28" t="s">
        <v>733</v>
      </c>
      <c r="C15" s="28" t="s">
        <v>53</v>
      </c>
      <c r="D15" s="28" t="s">
        <v>57</v>
      </c>
      <c r="E15" s="28">
        <v>8.0</v>
      </c>
      <c r="F15" s="28">
        <v>0.0</v>
      </c>
      <c r="G15" s="28">
        <v>0.0</v>
      </c>
      <c r="H15" s="28">
        <v>0.0</v>
      </c>
      <c r="I15" s="28">
        <v>0.0</v>
      </c>
      <c r="J15" s="28">
        <v>1.0</v>
      </c>
      <c r="K15" s="28">
        <v>0.0</v>
      </c>
      <c r="L15" s="41" t="s">
        <v>2163</v>
      </c>
      <c r="M15" s="40" t="s">
        <v>2155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ht="18.0" customHeight="1">
      <c r="A16" s="28">
        <v>310.0</v>
      </c>
      <c r="B16" s="28" t="s">
        <v>840</v>
      </c>
      <c r="C16" s="28" t="s">
        <v>53</v>
      </c>
      <c r="D16" s="28" t="s">
        <v>57</v>
      </c>
      <c r="E16" s="28">
        <v>0.0</v>
      </c>
      <c r="F16" s="28">
        <v>0.0</v>
      </c>
      <c r="G16" s="28">
        <v>0.0</v>
      </c>
      <c r="H16" s="28">
        <v>0.0</v>
      </c>
      <c r="I16" s="28">
        <v>0.0</v>
      </c>
      <c r="J16" s="28">
        <v>0.0</v>
      </c>
      <c r="K16" s="28">
        <v>0.0</v>
      </c>
      <c r="L16" s="28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ht="18.0" customHeight="1">
      <c r="A17" s="28">
        <v>311.0</v>
      </c>
      <c r="B17" s="28" t="s">
        <v>847</v>
      </c>
      <c r="C17" s="28" t="s">
        <v>53</v>
      </c>
      <c r="D17" s="28" t="s">
        <v>53</v>
      </c>
      <c r="E17" s="28">
        <v>2.0</v>
      </c>
      <c r="F17" s="28">
        <v>1.0</v>
      </c>
      <c r="G17" s="28">
        <v>1.0</v>
      </c>
      <c r="H17" s="28">
        <v>0.0</v>
      </c>
      <c r="I17" s="28">
        <v>0.0</v>
      </c>
      <c r="J17" s="28">
        <v>0.0</v>
      </c>
      <c r="K17" s="28">
        <v>0.0</v>
      </c>
      <c r="L17" s="41" t="s">
        <v>2164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ht="18.0" customHeight="1">
      <c r="A18" s="28">
        <v>313.0</v>
      </c>
      <c r="B18" s="28" t="s">
        <v>926</v>
      </c>
      <c r="C18" s="28" t="s">
        <v>53</v>
      </c>
      <c r="D18" s="28" t="s">
        <v>53</v>
      </c>
      <c r="E18" s="28">
        <v>0.0</v>
      </c>
      <c r="F18" s="28">
        <v>0.0</v>
      </c>
      <c r="G18" s="28">
        <v>0.0</v>
      </c>
      <c r="H18" s="28">
        <v>0.0</v>
      </c>
      <c r="I18" s="28">
        <v>0.0</v>
      </c>
      <c r="J18" s="28">
        <v>0.0</v>
      </c>
      <c r="K18" s="28">
        <v>0.0</v>
      </c>
      <c r="L18" s="41" t="s">
        <v>2165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ht="18.0" customHeight="1">
      <c r="A19" s="28">
        <v>315.0</v>
      </c>
      <c r="B19" s="28" t="s">
        <v>943</v>
      </c>
      <c r="C19" s="28" t="s">
        <v>53</v>
      </c>
      <c r="D19" s="28" t="s">
        <v>53</v>
      </c>
      <c r="E19" s="28">
        <v>4.0</v>
      </c>
      <c r="F19" s="28">
        <v>1.0</v>
      </c>
      <c r="G19" s="28">
        <v>1.0</v>
      </c>
      <c r="H19" s="28">
        <v>0.0</v>
      </c>
      <c r="I19" s="28">
        <v>0.0</v>
      </c>
      <c r="J19" s="28">
        <v>0.0</v>
      </c>
      <c r="K19" s="28">
        <v>0.0</v>
      </c>
      <c r="L19" s="41" t="s">
        <v>2166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ht="18.0" customHeight="1">
      <c r="A20" s="28">
        <v>316.0</v>
      </c>
      <c r="B20" s="28" t="s">
        <v>1034</v>
      </c>
      <c r="C20" s="28" t="s">
        <v>53</v>
      </c>
      <c r="D20" s="28" t="s">
        <v>57</v>
      </c>
      <c r="E20" s="28">
        <v>0.0</v>
      </c>
      <c r="F20" s="28">
        <v>0.0</v>
      </c>
      <c r="G20" s="28">
        <v>0.0</v>
      </c>
      <c r="H20" s="28">
        <v>0.0</v>
      </c>
      <c r="I20" s="28">
        <v>0.0</v>
      </c>
      <c r="J20" s="28">
        <v>1.0</v>
      </c>
      <c r="K20" s="28">
        <v>0.0</v>
      </c>
      <c r="L20" s="41" t="s">
        <v>2167</v>
      </c>
      <c r="M20" s="40" t="s">
        <v>2168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ht="18.0" customHeight="1">
      <c r="A21" s="28">
        <v>317.0</v>
      </c>
      <c r="B21" s="28" t="s">
        <v>1039</v>
      </c>
      <c r="C21" s="28" t="s">
        <v>53</v>
      </c>
      <c r="D21" s="28" t="s">
        <v>53</v>
      </c>
      <c r="E21" s="28">
        <v>3.0</v>
      </c>
      <c r="F21" s="28">
        <v>1.0</v>
      </c>
      <c r="G21" s="28">
        <v>0.0</v>
      </c>
      <c r="H21" s="28">
        <v>7.0</v>
      </c>
      <c r="I21" s="28">
        <v>2.0</v>
      </c>
      <c r="J21" s="28">
        <v>0.0</v>
      </c>
      <c r="K21" s="28">
        <v>0.0</v>
      </c>
      <c r="L21" s="28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ht="18.0" customHeight="1">
      <c r="A22" s="28">
        <v>319.0</v>
      </c>
      <c r="B22" s="28" t="s">
        <v>1106</v>
      </c>
      <c r="C22" s="28" t="s">
        <v>57</v>
      </c>
      <c r="D22" s="28" t="s">
        <v>57</v>
      </c>
      <c r="E22" s="28">
        <v>0.0</v>
      </c>
      <c r="F22" s="28">
        <v>1.0</v>
      </c>
      <c r="G22" s="28">
        <v>0.0</v>
      </c>
      <c r="H22" s="28">
        <v>0.0</v>
      </c>
      <c r="I22" s="28">
        <v>0.0</v>
      </c>
      <c r="J22" s="28">
        <v>1.0</v>
      </c>
      <c r="K22" s="28">
        <v>0.0</v>
      </c>
      <c r="L22" s="28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ht="18.0" customHeight="1">
      <c r="A23" s="28">
        <v>341.0</v>
      </c>
      <c r="B23" s="28" t="s">
        <v>1129</v>
      </c>
      <c r="C23" s="28" t="s">
        <v>53</v>
      </c>
      <c r="D23" s="28" t="s">
        <v>57</v>
      </c>
      <c r="E23" s="28">
        <v>3.0</v>
      </c>
      <c r="F23" s="28">
        <v>1.0</v>
      </c>
      <c r="G23" s="28">
        <v>0.0</v>
      </c>
      <c r="H23" s="28">
        <v>0.0</v>
      </c>
      <c r="I23" s="28">
        <v>0.0</v>
      </c>
      <c r="J23" s="28">
        <v>0.0</v>
      </c>
      <c r="K23" s="28">
        <v>0.0</v>
      </c>
      <c r="L23" s="41" t="s">
        <v>2169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ht="18.0" customHeight="1">
      <c r="A24" s="28">
        <v>350.0</v>
      </c>
      <c r="B24" s="28" t="s">
        <v>1174</v>
      </c>
      <c r="C24" s="28" t="s">
        <v>57</v>
      </c>
      <c r="D24" s="28" t="s">
        <v>53</v>
      </c>
      <c r="E24" s="28">
        <v>0.0</v>
      </c>
      <c r="F24" s="28">
        <v>0.0</v>
      </c>
      <c r="G24" s="28">
        <v>0.0</v>
      </c>
      <c r="H24" s="28">
        <v>0.0</v>
      </c>
      <c r="I24" s="28">
        <v>0.0</v>
      </c>
      <c r="J24" s="28">
        <v>0.0</v>
      </c>
      <c r="K24" s="28">
        <v>0.0</v>
      </c>
      <c r="L24" s="41" t="s">
        <v>2170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ht="18.0" customHeight="1">
      <c r="A25" s="28">
        <v>356.0</v>
      </c>
      <c r="B25" s="28" t="s">
        <v>1189</v>
      </c>
      <c r="C25" s="28" t="s">
        <v>53</v>
      </c>
      <c r="D25" s="28" t="s">
        <v>57</v>
      </c>
      <c r="E25" s="28">
        <v>3.0</v>
      </c>
      <c r="F25" s="28">
        <v>0.0</v>
      </c>
      <c r="G25" s="28">
        <v>0.0</v>
      </c>
      <c r="H25" s="28">
        <v>0.0</v>
      </c>
      <c r="I25" s="28">
        <v>0.0</v>
      </c>
      <c r="J25" s="28">
        <v>0.0</v>
      </c>
      <c r="K25" s="28">
        <v>0.0</v>
      </c>
      <c r="L25" s="28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ht="18.0" customHeight="1">
      <c r="A26" s="28">
        <v>364.0</v>
      </c>
      <c r="B26" s="28" t="s">
        <v>1250</v>
      </c>
      <c r="C26" s="28" t="s">
        <v>57</v>
      </c>
      <c r="D26" s="28" t="s">
        <v>53</v>
      </c>
      <c r="E26" s="28">
        <v>0.0</v>
      </c>
      <c r="F26" s="28">
        <v>0.0</v>
      </c>
      <c r="G26" s="28">
        <v>1.0</v>
      </c>
      <c r="H26" s="28">
        <v>0.0</v>
      </c>
      <c r="I26" s="28">
        <v>0.0</v>
      </c>
      <c r="J26" s="28">
        <v>0.0</v>
      </c>
      <c r="K26" s="28">
        <v>0.0</v>
      </c>
      <c r="L26" s="28" t="s">
        <v>2171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ht="18.0" customHeight="1">
      <c r="A27" s="28">
        <v>365.0</v>
      </c>
      <c r="B27" s="28" t="s">
        <v>1301</v>
      </c>
      <c r="C27" s="28" t="s">
        <v>53</v>
      </c>
      <c r="D27" s="28" t="s">
        <v>57</v>
      </c>
      <c r="E27" s="28">
        <v>1.0</v>
      </c>
      <c r="F27" s="28">
        <v>0.0</v>
      </c>
      <c r="G27" s="28">
        <v>0.0</v>
      </c>
      <c r="H27" s="28">
        <v>0.0</v>
      </c>
      <c r="I27" s="28">
        <v>0.0</v>
      </c>
      <c r="J27" s="28">
        <v>0.0</v>
      </c>
      <c r="K27" s="28">
        <v>0.0</v>
      </c>
      <c r="L27" s="28" t="s">
        <v>2172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ht="18.0" customHeight="1">
      <c r="A28" s="28">
        <v>369.0</v>
      </c>
      <c r="B28" s="28" t="s">
        <v>1316</v>
      </c>
      <c r="C28" s="28" t="s">
        <v>57</v>
      </c>
      <c r="D28" s="28" t="s">
        <v>53</v>
      </c>
      <c r="E28" s="28">
        <v>0.0</v>
      </c>
      <c r="F28" s="28">
        <v>0.0</v>
      </c>
      <c r="G28" s="28">
        <v>0.0</v>
      </c>
      <c r="H28" s="28">
        <v>0.0</v>
      </c>
      <c r="I28" s="28">
        <v>0.0</v>
      </c>
      <c r="J28" s="28">
        <v>0.0</v>
      </c>
      <c r="K28" s="28">
        <v>0.0</v>
      </c>
      <c r="L28" s="28" t="s">
        <v>2173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ht="18.0" customHeight="1">
      <c r="A29" s="28">
        <v>372.0</v>
      </c>
      <c r="B29" s="28" t="s">
        <v>1325</v>
      </c>
      <c r="C29" s="28" t="s">
        <v>53</v>
      </c>
      <c r="D29" s="28" t="s">
        <v>57</v>
      </c>
      <c r="E29" s="28">
        <v>0.0</v>
      </c>
      <c r="F29" s="28">
        <v>0.0</v>
      </c>
      <c r="G29" s="28">
        <v>1.0</v>
      </c>
      <c r="H29" s="28">
        <v>0.0</v>
      </c>
      <c r="I29" s="28">
        <v>0.0</v>
      </c>
      <c r="J29" s="28">
        <v>0.0</v>
      </c>
      <c r="K29" s="28">
        <v>0.0</v>
      </c>
      <c r="L29" s="28" t="s">
        <v>2174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ht="18.0" customHeight="1">
      <c r="A30" s="28">
        <v>377.0</v>
      </c>
      <c r="B30" s="28" t="s">
        <v>1388</v>
      </c>
      <c r="C30" s="28" t="s">
        <v>53</v>
      </c>
      <c r="D30" s="28" t="s">
        <v>57</v>
      </c>
      <c r="E30" s="28">
        <v>0.0</v>
      </c>
      <c r="F30" s="28">
        <v>0.0</v>
      </c>
      <c r="G30" s="28">
        <v>0.0</v>
      </c>
      <c r="H30" s="28">
        <v>0.0</v>
      </c>
      <c r="I30" s="28">
        <v>0.0</v>
      </c>
      <c r="J30" s="28">
        <v>0.0</v>
      </c>
      <c r="K30" s="28">
        <v>0.0</v>
      </c>
      <c r="L30" s="28" t="s">
        <v>2174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ht="18.0" customHeight="1">
      <c r="A31" s="28">
        <v>378.0</v>
      </c>
      <c r="B31" s="28" t="s">
        <v>1391</v>
      </c>
      <c r="C31" s="28" t="s">
        <v>53</v>
      </c>
      <c r="D31" s="28" t="s">
        <v>53</v>
      </c>
      <c r="E31" s="28">
        <v>1.0</v>
      </c>
      <c r="F31" s="28">
        <v>1.0</v>
      </c>
      <c r="G31" s="28">
        <v>1.0</v>
      </c>
      <c r="H31" s="28">
        <v>0.0</v>
      </c>
      <c r="I31" s="28">
        <v>0.0</v>
      </c>
      <c r="J31" s="28">
        <v>0.0</v>
      </c>
      <c r="K31" s="28">
        <v>0.0</v>
      </c>
      <c r="L31" s="28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ht="18.0" customHeight="1">
      <c r="A32" s="28">
        <v>380.0</v>
      </c>
      <c r="B32" s="28" t="s">
        <v>1432</v>
      </c>
      <c r="C32" s="28" t="s">
        <v>53</v>
      </c>
      <c r="D32" s="28" t="s">
        <v>57</v>
      </c>
      <c r="E32" s="28">
        <v>0.0</v>
      </c>
      <c r="F32" s="28">
        <v>0.0</v>
      </c>
      <c r="G32" s="28">
        <v>0.0</v>
      </c>
      <c r="H32" s="28">
        <v>0.0</v>
      </c>
      <c r="I32" s="28">
        <v>0.0</v>
      </c>
      <c r="J32" s="28">
        <v>0.0</v>
      </c>
      <c r="K32" s="28">
        <v>0.0</v>
      </c>
      <c r="L32" s="28" t="s">
        <v>2175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ht="18.0" customHeight="1">
      <c r="A33" s="28">
        <v>388.0</v>
      </c>
      <c r="B33" s="28" t="s">
        <v>1435</v>
      </c>
      <c r="C33" s="28" t="s">
        <v>57</v>
      </c>
      <c r="D33" s="28" t="s">
        <v>53</v>
      </c>
      <c r="E33" s="28">
        <v>0.0</v>
      </c>
      <c r="F33" s="28">
        <v>0.0</v>
      </c>
      <c r="G33" s="28">
        <v>0.0</v>
      </c>
      <c r="H33" s="28">
        <v>0.0</v>
      </c>
      <c r="I33" s="28">
        <v>1.0</v>
      </c>
      <c r="J33" s="28">
        <v>0.0</v>
      </c>
      <c r="K33" s="28">
        <v>0.0</v>
      </c>
      <c r="L33" s="28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ht="18.0" customHeight="1">
      <c r="A34" s="28">
        <v>391.0</v>
      </c>
      <c r="B34" s="28" t="s">
        <v>1438</v>
      </c>
      <c r="C34" s="28" t="s">
        <v>57</v>
      </c>
      <c r="D34" s="28" t="s">
        <v>57</v>
      </c>
      <c r="E34" s="28">
        <v>0.0</v>
      </c>
      <c r="F34" s="28">
        <v>1.0</v>
      </c>
      <c r="G34" s="28">
        <v>0.0</v>
      </c>
      <c r="H34" s="28">
        <v>0.0</v>
      </c>
      <c r="I34" s="28">
        <v>0.0</v>
      </c>
      <c r="J34" s="28">
        <v>0.0</v>
      </c>
      <c r="K34" s="28">
        <v>0.0</v>
      </c>
      <c r="L34" s="28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ht="18.0" customHeight="1">
      <c r="A35" s="28">
        <v>396.0</v>
      </c>
      <c r="B35" s="28" t="s">
        <v>1445</v>
      </c>
      <c r="C35" s="28" t="s">
        <v>57</v>
      </c>
      <c r="D35" s="28" t="s">
        <v>57</v>
      </c>
      <c r="E35" s="28">
        <v>0.0</v>
      </c>
      <c r="F35" s="28">
        <v>0.0</v>
      </c>
      <c r="G35" s="28">
        <v>1.0</v>
      </c>
      <c r="H35" s="28">
        <v>0.0</v>
      </c>
      <c r="I35" s="28">
        <v>0.0</v>
      </c>
      <c r="J35" s="28">
        <v>0.0</v>
      </c>
      <c r="K35" s="28">
        <v>0.0</v>
      </c>
      <c r="L35" s="28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ht="18.0" customHeight="1">
      <c r="A36" s="28">
        <v>401.0</v>
      </c>
      <c r="B36" s="28" t="s">
        <v>1454</v>
      </c>
      <c r="C36" s="28" t="s">
        <v>53</v>
      </c>
      <c r="D36" s="28" t="s">
        <v>57</v>
      </c>
      <c r="E36" s="28">
        <v>0.0</v>
      </c>
      <c r="F36" s="28">
        <v>0.0</v>
      </c>
      <c r="G36" s="28">
        <v>0.0</v>
      </c>
      <c r="H36" s="28">
        <v>2.0</v>
      </c>
      <c r="I36" s="28">
        <v>0.0</v>
      </c>
      <c r="J36" s="28">
        <v>0.0</v>
      </c>
      <c r="K36" s="28">
        <v>0.0</v>
      </c>
      <c r="L36" s="28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ht="18.0" customHeight="1">
      <c r="A37" s="28">
        <v>402.0</v>
      </c>
      <c r="B37" s="28" t="s">
        <v>1485</v>
      </c>
      <c r="C37" s="28" t="s">
        <v>53</v>
      </c>
      <c r="D37" s="28" t="s">
        <v>53</v>
      </c>
      <c r="E37" s="28">
        <v>5.0</v>
      </c>
      <c r="F37" s="28">
        <v>0.0</v>
      </c>
      <c r="G37" s="28">
        <v>0.0</v>
      </c>
      <c r="H37" s="28">
        <v>0.0</v>
      </c>
      <c r="I37" s="28">
        <v>0.0</v>
      </c>
      <c r="J37" s="28">
        <v>0.0</v>
      </c>
      <c r="K37" s="28">
        <v>0.0</v>
      </c>
      <c r="L37" s="28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ht="18.0" customHeight="1">
      <c r="A38" s="28">
        <v>443.0</v>
      </c>
      <c r="B38" s="28" t="s">
        <v>1602</v>
      </c>
      <c r="C38" s="28" t="s">
        <v>57</v>
      </c>
      <c r="D38" s="28" t="s">
        <v>57</v>
      </c>
      <c r="E38" s="28">
        <v>0.0</v>
      </c>
      <c r="F38" s="28">
        <v>0.0</v>
      </c>
      <c r="G38" s="28">
        <v>0.0</v>
      </c>
      <c r="H38" s="28">
        <v>0.0</v>
      </c>
      <c r="I38" s="28">
        <v>0.0</v>
      </c>
      <c r="J38" s="28">
        <v>0.0</v>
      </c>
      <c r="K38" s="28">
        <v>0.0</v>
      </c>
      <c r="L38" s="28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ht="18.0" customHeight="1">
      <c r="A39" s="28">
        <v>444.0</v>
      </c>
      <c r="B39" s="28" t="s">
        <v>1605</v>
      </c>
      <c r="C39" s="28" t="s">
        <v>57</v>
      </c>
      <c r="D39" s="28" t="s">
        <v>53</v>
      </c>
      <c r="E39" s="28">
        <v>0.0</v>
      </c>
      <c r="F39" s="28">
        <v>1.0</v>
      </c>
      <c r="G39" s="28">
        <v>0.0</v>
      </c>
      <c r="H39" s="28">
        <v>0.0</v>
      </c>
      <c r="I39" s="28">
        <v>2.0</v>
      </c>
      <c r="J39" s="28">
        <v>0.0</v>
      </c>
      <c r="K39" s="28">
        <v>0.0</v>
      </c>
      <c r="L39" s="28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ht="18.0" customHeight="1">
      <c r="A40" s="28">
        <v>501.0</v>
      </c>
      <c r="B40" s="28" t="s">
        <v>1636</v>
      </c>
      <c r="C40" s="28" t="s">
        <v>53</v>
      </c>
      <c r="D40" s="28" t="s">
        <v>53</v>
      </c>
      <c r="E40" s="28">
        <v>3.0</v>
      </c>
      <c r="F40" s="28">
        <v>0.0</v>
      </c>
      <c r="G40" s="28">
        <v>0.0</v>
      </c>
      <c r="H40" s="28">
        <v>1.0</v>
      </c>
      <c r="I40" s="28">
        <v>1.0</v>
      </c>
      <c r="J40" s="28">
        <v>2.0</v>
      </c>
      <c r="K40" s="28">
        <v>0.0</v>
      </c>
      <c r="L40" s="28" t="s">
        <v>2176</v>
      </c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ht="18.0" customHeight="1">
      <c r="A41" s="28">
        <v>504.0</v>
      </c>
      <c r="B41" s="28" t="s">
        <v>1699</v>
      </c>
      <c r="C41" s="28" t="s">
        <v>53</v>
      </c>
      <c r="D41" s="28" t="s">
        <v>53</v>
      </c>
      <c r="E41" s="28">
        <v>7.0</v>
      </c>
      <c r="F41" s="28">
        <v>3.0</v>
      </c>
      <c r="G41" s="28">
        <v>0.0</v>
      </c>
      <c r="H41" s="28">
        <v>0.0</v>
      </c>
      <c r="I41" s="28">
        <v>0.0</v>
      </c>
      <c r="J41" s="28">
        <v>1.0</v>
      </c>
      <c r="K41" s="28">
        <v>0.0</v>
      </c>
      <c r="L41" s="28" t="s">
        <v>2177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ht="18.0" customHeight="1">
      <c r="A42" s="28">
        <v>506.0</v>
      </c>
      <c r="B42" s="28" t="s">
        <v>1864</v>
      </c>
      <c r="C42" s="28" t="s">
        <v>53</v>
      </c>
      <c r="D42" s="28" t="s">
        <v>53</v>
      </c>
      <c r="E42" s="28">
        <v>1.0</v>
      </c>
      <c r="F42" s="28">
        <v>0.0</v>
      </c>
      <c r="G42" s="28">
        <v>0.0</v>
      </c>
      <c r="H42" s="28">
        <v>0.0</v>
      </c>
      <c r="I42" s="28">
        <v>0.0</v>
      </c>
      <c r="J42" s="28">
        <v>0.0</v>
      </c>
      <c r="K42" s="28">
        <v>0.0</v>
      </c>
      <c r="L42" s="28" t="s">
        <v>2178</v>
      </c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ht="18.0" customHeight="1">
      <c r="A43" s="28">
        <v>507.0</v>
      </c>
      <c r="B43" s="28" t="s">
        <v>1919</v>
      </c>
      <c r="C43" s="28" t="s">
        <v>53</v>
      </c>
      <c r="D43" s="28" t="s">
        <v>53</v>
      </c>
      <c r="E43" s="28">
        <v>1.0</v>
      </c>
      <c r="F43" s="28">
        <v>0.0</v>
      </c>
      <c r="G43" s="28">
        <v>1.0</v>
      </c>
      <c r="H43" s="28">
        <v>0.0</v>
      </c>
      <c r="I43" s="28">
        <v>0.0</v>
      </c>
      <c r="J43" s="28">
        <v>0.0</v>
      </c>
      <c r="K43" s="28">
        <v>0.0</v>
      </c>
      <c r="L43" s="28" t="s">
        <v>2179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ht="18.0" customHeight="1">
      <c r="A44" s="28">
        <v>541.0</v>
      </c>
      <c r="B44" s="28" t="s">
        <v>1998</v>
      </c>
      <c r="C44" s="28" t="s">
        <v>57</v>
      </c>
      <c r="D44" s="28" t="s">
        <v>53</v>
      </c>
      <c r="E44" s="28">
        <v>0.0</v>
      </c>
      <c r="F44" s="28">
        <v>1.0</v>
      </c>
      <c r="G44" s="28">
        <v>0.0</v>
      </c>
      <c r="H44" s="28">
        <v>0.0</v>
      </c>
      <c r="I44" s="28">
        <v>0.0</v>
      </c>
      <c r="J44" s="28">
        <v>1.0</v>
      </c>
      <c r="K44" s="28">
        <v>0.0</v>
      </c>
      <c r="L44" s="28" t="s">
        <v>2180</v>
      </c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ht="18.0" customHeight="1">
      <c r="A45" s="28">
        <v>544.0</v>
      </c>
      <c r="B45" s="28" t="s">
        <v>2041</v>
      </c>
      <c r="C45" s="28" t="s">
        <v>53</v>
      </c>
      <c r="D45" s="28" t="s">
        <v>57</v>
      </c>
      <c r="E45" s="28">
        <v>0.0</v>
      </c>
      <c r="F45" s="28">
        <v>0.0</v>
      </c>
      <c r="G45" s="28">
        <v>0.0</v>
      </c>
      <c r="H45" s="28">
        <v>0.0</v>
      </c>
      <c r="I45" s="28">
        <v>0.0</v>
      </c>
      <c r="J45" s="28">
        <v>0.0</v>
      </c>
      <c r="K45" s="28">
        <v>0.0</v>
      </c>
      <c r="L45" s="28" t="s">
        <v>2156</v>
      </c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ht="18.0" customHeight="1">
      <c r="A46" s="28">
        <v>545.0</v>
      </c>
      <c r="B46" s="28" t="s">
        <v>2044</v>
      </c>
      <c r="C46" s="28" t="s">
        <v>57</v>
      </c>
      <c r="D46" s="28" t="s">
        <v>53</v>
      </c>
      <c r="E46" s="28">
        <v>0.0</v>
      </c>
      <c r="F46" s="28">
        <v>1.0</v>
      </c>
      <c r="G46" s="28">
        <v>0.0</v>
      </c>
      <c r="H46" s="28">
        <v>0.0</v>
      </c>
      <c r="I46" s="28">
        <v>0.0</v>
      </c>
      <c r="J46" s="28">
        <v>0.0</v>
      </c>
      <c r="K46" s="28">
        <v>0.0</v>
      </c>
      <c r="L46" s="28" t="s">
        <v>2181</v>
      </c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ht="18.0" customHeight="1">
      <c r="A47" s="28">
        <v>549.0</v>
      </c>
      <c r="B47" s="28" t="s">
        <v>2123</v>
      </c>
      <c r="C47" s="28" t="s">
        <v>57</v>
      </c>
      <c r="D47" s="28" t="s">
        <v>53</v>
      </c>
      <c r="E47" s="28">
        <v>0.0</v>
      </c>
      <c r="F47" s="28">
        <v>0.0</v>
      </c>
      <c r="G47" s="28">
        <v>0.0</v>
      </c>
      <c r="H47" s="28">
        <v>0.0</v>
      </c>
      <c r="I47" s="28">
        <v>0.0</v>
      </c>
      <c r="J47" s="28">
        <v>0.0</v>
      </c>
      <c r="K47" s="28">
        <v>0.0</v>
      </c>
      <c r="L47" s="28" t="s">
        <v>2182</v>
      </c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ht="18.0" customHeight="1">
      <c r="A48" s="28">
        <v>583.0</v>
      </c>
      <c r="B48" s="28" t="s">
        <v>2128</v>
      </c>
      <c r="C48" s="28" t="s">
        <v>53</v>
      </c>
      <c r="D48" s="28" t="s">
        <v>57</v>
      </c>
      <c r="E48" s="28">
        <v>0.0</v>
      </c>
      <c r="F48" s="28">
        <v>0.0</v>
      </c>
      <c r="G48" s="28">
        <v>0.0</v>
      </c>
      <c r="H48" s="28">
        <v>0.0</v>
      </c>
      <c r="I48" s="28">
        <v>0.0</v>
      </c>
      <c r="J48" s="28">
        <v>0.0</v>
      </c>
      <c r="K48" s="28">
        <v>0.0</v>
      </c>
      <c r="L48" s="28" t="s">
        <v>2156</v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ht="18.0" customHeight="1">
      <c r="A49" s="28">
        <v>597.0</v>
      </c>
      <c r="B49" s="28" t="s">
        <v>2131</v>
      </c>
      <c r="C49" s="28" t="s">
        <v>57</v>
      </c>
      <c r="D49" s="28" t="s">
        <v>53</v>
      </c>
      <c r="E49" s="28">
        <v>0.0</v>
      </c>
      <c r="F49" s="28">
        <v>0.0</v>
      </c>
      <c r="G49" s="28">
        <v>0.0</v>
      </c>
      <c r="H49" s="28">
        <v>0.0</v>
      </c>
      <c r="I49" s="28">
        <v>0.0</v>
      </c>
      <c r="J49" s="28">
        <v>0.0</v>
      </c>
      <c r="K49" s="28">
        <v>0.0</v>
      </c>
      <c r="L49" s="28" t="s">
        <v>2182</v>
      </c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ht="18.0" customHeight="1">
      <c r="A50" s="28">
        <v>601.0</v>
      </c>
      <c r="B50" s="28" t="s">
        <v>2134</v>
      </c>
      <c r="C50" s="28" t="s">
        <v>53</v>
      </c>
      <c r="D50" s="28" t="s">
        <v>57</v>
      </c>
      <c r="E50" s="28">
        <v>0.0</v>
      </c>
      <c r="F50" s="28">
        <v>0.0</v>
      </c>
      <c r="G50" s="28">
        <v>0.0</v>
      </c>
      <c r="H50" s="28">
        <v>0.0</v>
      </c>
      <c r="I50" s="28">
        <v>0.0</v>
      </c>
      <c r="J50" s="28">
        <v>0.0</v>
      </c>
      <c r="K50" s="28">
        <v>1.0</v>
      </c>
      <c r="L50" s="28">
        <v>0.0</v>
      </c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ht="18.0" customHeight="1">
      <c r="A51" s="28">
        <v>641.0</v>
      </c>
      <c r="B51" s="28" t="s">
        <v>2143</v>
      </c>
      <c r="C51" s="28" t="s">
        <v>57</v>
      </c>
      <c r="D51" s="28" t="s">
        <v>57</v>
      </c>
      <c r="E51" s="28">
        <v>0.0</v>
      </c>
      <c r="F51" s="28">
        <v>0.0</v>
      </c>
      <c r="G51" s="28">
        <v>0.0</v>
      </c>
      <c r="H51" s="28">
        <v>1.0</v>
      </c>
      <c r="I51" s="28">
        <v>0.0</v>
      </c>
      <c r="J51" s="28">
        <v>0.0</v>
      </c>
      <c r="K51" s="28">
        <v>0.0</v>
      </c>
      <c r="L51" s="28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ht="18.0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ht="18.0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ht="18.0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ht="18.0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ht="18.0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ht="18.0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ht="18.0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ht="18.0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ht="18.0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ht="18.0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ht="18.0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ht="18.0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ht="18.0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ht="18.0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ht="18.0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ht="18.0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ht="18.0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ht="18.0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ht="18.0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ht="18.0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ht="18.0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ht="18.0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ht="18.0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ht="18.0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ht="18.0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ht="18.0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ht="18.0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ht="18.0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ht="18.0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ht="18.0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ht="18.0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ht="18.0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ht="18.0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ht="18.0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ht="18.0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ht="18.0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ht="18.0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ht="18.0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ht="18.0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ht="18.0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ht="18.0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ht="18.0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ht="18.0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ht="18.0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ht="18.0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ht="18.0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ht="18.0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ht="18.0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ht="18.0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ht="18.0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ht="18.0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ht="18.0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ht="18.0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ht="18.0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ht="18.0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ht="18.0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ht="18.0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ht="18.0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ht="18.0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ht="18.0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ht="18.0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ht="18.0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ht="18.0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ht="18.0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ht="18.0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ht="18.0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ht="18.0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ht="18.0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ht="18.0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ht="18.0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ht="18.0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ht="18.0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ht="18.0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ht="18.0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ht="18.0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ht="18.0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ht="18.0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ht="18.0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ht="18.0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ht="18.0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ht="18.0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ht="18.0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ht="18.0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ht="18.0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ht="18.0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ht="18.0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ht="18.0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ht="18.0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ht="18.0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ht="18.0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ht="18.0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ht="18.0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ht="18.0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ht="18.0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ht="18.0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ht="18.0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ht="18.0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ht="18.0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ht="18.0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ht="18.0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ht="18.0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ht="18.0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ht="18.0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ht="18.0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ht="18.0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ht="18.0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ht="18.0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ht="18.0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ht="18.0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ht="18.0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ht="18.0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ht="18.0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ht="18.0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ht="18.0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ht="18.0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ht="18.0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ht="18.0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ht="18.0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ht="18.0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ht="18.0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ht="18.0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ht="18.0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ht="18.0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ht="18.0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ht="18.0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ht="18.0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ht="18.0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ht="18.0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ht="18.0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ht="18.0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ht="18.0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ht="18.0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ht="18.0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ht="18.0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ht="18.0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ht="18.0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ht="18.0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ht="18.0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ht="18.0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ht="18.0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ht="18.0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ht="18.0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ht="18.0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ht="18.0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ht="18.0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ht="18.0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ht="18.0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ht="18.0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ht="18.0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ht="18.0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ht="18.0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ht="18.0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ht="18.0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ht="18.0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ht="18.0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ht="18.0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ht="18.0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ht="18.0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ht="18.0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ht="18.0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ht="18.0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ht="18.0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ht="18.0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ht="18.0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ht="18.0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ht="18.0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ht="18.0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ht="18.0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ht="18.0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ht="18.0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ht="18.0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ht="18.0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ht="18.0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ht="18.0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ht="18.0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ht="18.0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ht="18.0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ht="18.0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ht="18.0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ht="18.0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ht="18.0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ht="18.0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ht="18.0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ht="18.0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ht="18.0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ht="18.0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ht="18.0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ht="18.0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ht="18.0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ht="18.0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ht="18.0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ht="18.0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ht="18.0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ht="18.0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ht="18.0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ht="18.0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ht="18.0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ht="18.0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ht="18.0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ht="18.0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ht="15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ht="15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ht="15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ht="15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ht="15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ht="15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ht="15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ht="15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ht="15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ht="15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ht="15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ht="15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ht="15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ht="15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ht="15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ht="15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ht="15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ht="15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ht="15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ht="15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ht="15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ht="15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ht="15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ht="15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ht="15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ht="15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ht="15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ht="15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ht="15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ht="15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ht="15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ht="15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ht="15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ht="15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ht="15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ht="15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ht="15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ht="15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ht="15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ht="15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ht="15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ht="15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ht="15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ht="15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ht="15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ht="15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ht="15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ht="15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ht="15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ht="15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ht="15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ht="15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ht="15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ht="15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ht="15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ht="15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ht="15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ht="15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ht="15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ht="15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ht="15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ht="15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ht="15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ht="15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ht="15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ht="15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ht="15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ht="15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ht="15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ht="15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ht="15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ht="15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ht="15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ht="15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ht="15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ht="15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ht="15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ht="15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ht="15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ht="15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ht="15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ht="15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ht="15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ht="15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ht="15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ht="15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ht="15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ht="15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ht="15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ht="15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ht="15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ht="15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ht="15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ht="15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ht="15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ht="15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ht="15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ht="15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ht="15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ht="15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ht="15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ht="15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ht="15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ht="15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ht="15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ht="15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ht="15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ht="15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ht="15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ht="15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ht="15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ht="15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ht="15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ht="15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ht="15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ht="15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ht="15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ht="15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ht="15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ht="15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ht="15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ht="15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ht="15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ht="15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ht="15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ht="15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ht="15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ht="15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ht="15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ht="15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ht="15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ht="15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ht="15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ht="15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ht="15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ht="15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ht="15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ht="15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ht="15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ht="15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ht="15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ht="15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ht="15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ht="15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ht="15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ht="15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ht="15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ht="15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ht="15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ht="15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ht="15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ht="15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ht="15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ht="15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ht="15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ht="15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ht="15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ht="15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ht="15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ht="15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ht="15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ht="15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ht="15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ht="15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ht="15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ht="15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ht="15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ht="15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ht="15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ht="15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ht="15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ht="15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ht="15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ht="15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ht="15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ht="15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ht="15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ht="15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ht="15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ht="15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ht="15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ht="15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ht="15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ht="15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ht="15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ht="15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ht="15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ht="15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ht="15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ht="15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ht="15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ht="15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ht="15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ht="15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ht="15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ht="15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ht="15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ht="15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ht="15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ht="15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ht="15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ht="15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ht="15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ht="15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ht="15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ht="15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ht="15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ht="15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ht="15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ht="15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ht="15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ht="15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ht="15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ht="15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ht="15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ht="15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ht="15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ht="15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ht="15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ht="15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ht="15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ht="15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ht="15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ht="15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ht="15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ht="15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ht="15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ht="15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ht="15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ht="15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ht="15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ht="15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ht="15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ht="15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ht="15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ht="15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ht="15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ht="15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ht="15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ht="15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ht="15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ht="15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ht="15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ht="15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ht="15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ht="15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ht="15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ht="15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ht="15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ht="15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ht="15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ht="15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ht="15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ht="15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ht="15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ht="15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ht="15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ht="15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ht="15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ht="15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ht="15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ht="15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ht="15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ht="15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ht="15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ht="15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ht="15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ht="15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ht="15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ht="15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ht="15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ht="15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ht="15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ht="15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ht="15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ht="15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ht="15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ht="15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ht="15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ht="15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ht="15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ht="15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ht="15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ht="15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ht="15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ht="15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ht="15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ht="15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ht="15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ht="15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ht="15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ht="15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ht="15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ht="15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ht="15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ht="15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ht="15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ht="15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ht="15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ht="15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ht="15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ht="15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ht="15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ht="15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ht="15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ht="15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ht="15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ht="15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ht="15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ht="15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ht="15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ht="15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ht="15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ht="15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ht="15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ht="15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ht="15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ht="15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ht="15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ht="15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ht="15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ht="15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ht="15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ht="15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ht="15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ht="15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ht="15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ht="15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ht="15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ht="15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ht="15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ht="15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ht="15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ht="15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ht="15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ht="15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ht="15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ht="15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ht="15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ht="15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ht="15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ht="15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ht="15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ht="15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ht="15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ht="15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ht="15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ht="15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ht="15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ht="15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ht="15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ht="15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ht="15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ht="15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ht="15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ht="15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ht="15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ht="15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ht="15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ht="15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ht="15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ht="15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ht="15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ht="15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ht="15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ht="15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ht="15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ht="15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ht="15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ht="15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ht="15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ht="15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ht="15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ht="15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ht="15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ht="15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ht="15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ht="15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ht="15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ht="15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ht="15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ht="15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ht="15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ht="15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ht="15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ht="15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ht="15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ht="15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ht="15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ht="15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ht="15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ht="15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ht="15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ht="15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ht="15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ht="15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ht="15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ht="15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ht="15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ht="15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ht="15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ht="15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ht="15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ht="15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ht="15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ht="15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ht="15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ht="15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ht="15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ht="15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ht="15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ht="15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ht="15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ht="15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ht="15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ht="15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ht="15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ht="15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ht="15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ht="15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ht="15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ht="15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ht="15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ht="15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ht="15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ht="15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ht="15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ht="15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ht="15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ht="15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ht="15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ht="15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ht="15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ht="15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ht="15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ht="15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ht="15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ht="15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ht="15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ht="15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ht="15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ht="15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ht="15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ht="15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ht="15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ht="15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ht="15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ht="15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ht="15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ht="15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ht="15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ht="15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ht="15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ht="15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ht="15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ht="15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ht="15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ht="15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ht="15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ht="15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ht="15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ht="15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ht="15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ht="15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ht="15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ht="15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ht="15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ht="15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ht="15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ht="15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ht="15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ht="15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ht="15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ht="15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ht="15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ht="15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ht="15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ht="15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ht="15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ht="15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ht="15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ht="15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ht="15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ht="15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ht="15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ht="15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ht="15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ht="15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ht="15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ht="15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ht="15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ht="15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ht="15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ht="15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ht="15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ht="15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ht="15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ht="15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ht="15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ht="15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ht="15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ht="15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ht="15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ht="15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ht="15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ht="15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ht="15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ht="15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ht="15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ht="15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ht="15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ht="15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ht="15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ht="15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ht="15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ht="15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ht="15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ht="15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ht="15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ht="15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ht="15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ht="15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ht="15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ht="15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ht="15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ht="15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ht="15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ht="15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ht="15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ht="15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ht="15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ht="15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ht="15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ht="15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ht="15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ht="15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ht="15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ht="15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ht="15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ht="15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ht="15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ht="15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ht="15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ht="15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ht="15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ht="15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ht="15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ht="15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ht="15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ht="15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ht="15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ht="15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ht="15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ht="15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ht="15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ht="15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ht="15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ht="15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ht="15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ht="15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ht="15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ht="15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ht="15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ht="15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ht="15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ht="15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ht="15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ht="15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ht="15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ht="15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ht="15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ht="15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ht="15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ht="15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ht="15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ht="15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ht="15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ht="15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ht="15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ht="15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ht="15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ht="15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ht="15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ht="15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ht="15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ht="15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ht="15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ht="15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ht="15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ht="15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ht="15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ht="15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ht="15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ht="15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ht="15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ht="15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ht="15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ht="15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ht="15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ht="15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ht="15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ht="15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ht="15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ht="15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ht="15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ht="15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ht="15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ht="15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ht="15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ht="15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ht="15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ht="15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ht="15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ht="15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ht="15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ht="15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ht="15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ht="15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ht="15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ht="15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ht="15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ht="15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ht="15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ht="15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ht="15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ht="15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ht="15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ht="15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ht="15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ht="15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ht="15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ht="15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ht="15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ht="15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ht="15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ht="15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ht="15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ht="15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ht="15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ht="15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ht="15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ht="15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ht="15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ht="15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ht="15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ht="15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ht="15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ht="15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ht="15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ht="15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ht="15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ht="15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ht="15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ht="15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ht="15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ht="15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ht="15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ht="15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ht="15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ht="15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ht="15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ht="15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ht="15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ht="15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ht="15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ht="15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ht="15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ht="15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ht="15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ht="15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ht="15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ht="15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ht="15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ht="15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ht="15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ht="15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ht="15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ht="15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ht="15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ht="15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ht="15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ht="15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ht="15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ht="15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ht="15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ht="15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ht="15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ht="15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ht="15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ht="15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ht="15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ht="15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ht="15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ht="15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ht="15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ht="15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ht="15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ht="15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ht="15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ht="15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ht="15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ht="15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ht="15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ht="15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ht="15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ht="15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ht="15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ht="15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ht="15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ht="15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ht="15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ht="15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ht="15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ht="15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ht="15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ht="15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ht="15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ht="15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ht="15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ht="15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ht="15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ht="15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ht="15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ht="15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ht="15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ht="15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ht="15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ht="15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ht="15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ht="15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ht="15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ht="15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ht="15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ht="15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ht="15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ht="15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ht="15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ht="15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ht="15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ht="15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ht="15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ht="15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ht="15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ht="15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ht="15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ht="15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ht="15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ht="15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ht="15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printOptions/>
  <pageMargins bottom="0.75" footer="0.0" header="0.0" left="0.7" right="0.7" top="0.75"/>
  <pageSetup orientation="landscape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1316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4</v>
      </c>
      <c r="E4" s="7">
        <f t="shared" ref="E4:E8" si="1">C4*D4</f>
        <v>34000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1</v>
      </c>
      <c r="E5" s="7">
        <f t="shared" si="1"/>
        <v>8000</v>
      </c>
    </row>
    <row r="6" ht="19.5" customHeight="1">
      <c r="A6" s="2" t="s">
        <v>9</v>
      </c>
      <c r="B6" s="4"/>
      <c r="C6" s="7">
        <v>32700.0</v>
      </c>
      <c r="D6" s="5">
        <f>D4+D5</f>
        <v>5</v>
      </c>
      <c r="E6" s="7">
        <f t="shared" si="1"/>
        <v>163500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1</v>
      </c>
      <c r="E7" s="7">
        <f t="shared" si="1"/>
        <v>4500</v>
      </c>
    </row>
    <row r="8" ht="19.5" customHeight="1">
      <c r="A8" s="2" t="s">
        <v>11</v>
      </c>
      <c r="B8" s="4"/>
      <c r="C8" s="7">
        <v>500.0</v>
      </c>
      <c r="D8" s="5">
        <f>D4-COUNT(H14:H201)</f>
        <v>0</v>
      </c>
      <c r="E8" s="7">
        <f t="shared" si="1"/>
        <v>0</v>
      </c>
    </row>
    <row r="9" ht="19.5" customHeight="1">
      <c r="A9" s="9"/>
      <c r="B9" s="9"/>
      <c r="C9" s="9"/>
      <c r="D9" s="10" t="s">
        <v>5</v>
      </c>
      <c r="E9" s="11">
        <f>SUM(E4:E8)</f>
        <v>210000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IFERROR(__xludf.DUMMYFUNCTION("FILTER('個人別エントリー'!C2:L1018,'個人別エントリー'!B2:B1018=A1)"),236902.0)</f>
        <v>236902</v>
      </c>
      <c r="B14" s="5" t="str">
        <f>IFERROR(__xludf.DUMMYFUNCTION("""COMPUTED_VALUE"""),"有本 寧羽")</f>
        <v>有本 寧羽</v>
      </c>
      <c r="C14" s="5" t="str">
        <f>IFERROR(__xludf.DUMMYFUNCTION("""COMPUTED_VALUE"""),"ありもと やすは")</f>
        <v>ありもと やすは</v>
      </c>
      <c r="D14" s="5">
        <f>IFERROR(__xludf.DUMMYFUNCTION("""COMPUTED_VALUE"""),2.0)</f>
        <v>2</v>
      </c>
      <c r="E14" s="5" t="str">
        <f>IFERROR(__xludf.DUMMYFUNCTION("""COMPUTED_VALUE"""),"女")</f>
        <v>女</v>
      </c>
      <c r="F14" s="5" t="str">
        <f>IFERROR(__xludf.DUMMYFUNCTION("""COMPUTED_VALUE"""),"WUA")</f>
        <v>WUA</v>
      </c>
      <c r="G14" s="5" t="str">
        <f>IFERROR(__xludf.DUMMYFUNCTION("""COMPUTED_VALUE"""),"○出場")</f>
        <v>○出場</v>
      </c>
      <c r="H14" s="5">
        <f>IFERROR(__xludf.DUMMYFUNCTION("""COMPUTED_VALUE"""),265860.0)</f>
        <v>265860</v>
      </c>
      <c r="I14" s="5" t="str">
        <f>IFERROR(__xludf.DUMMYFUNCTION("""COMPUTED_VALUE"""),"○参加する")</f>
        <v>○参加する</v>
      </c>
      <c r="J14" s="5"/>
      <c r="K14" s="12">
        <f t="shared" ref="K14:K201" si="2">IF(AND(OR(F14="×欠場",F14=""),OR(G14="×欠場",G14="")),0,1)</f>
        <v>1</v>
      </c>
      <c r="M14" s="5" t="str">
        <f>IFERROR(__xludf.DUMMYFUNCTION("FILTER('リレー内容'!$C$2:$K$51,'リレー内容'!$B$2:$B$51=A1)"),"×欠場")</f>
        <v>×欠場</v>
      </c>
      <c r="N14" s="5" t="str">
        <f>IFERROR(__xludf.DUMMYFUNCTION("""COMPUTED_VALUE"""),"○出場")</f>
        <v>○出場</v>
      </c>
      <c r="O14" s="5">
        <f>IFERROR(__xludf.DUMMYFUNCTION("""COMPUTED_VALUE"""),0.0)</f>
        <v>0</v>
      </c>
      <c r="P14" s="5">
        <f>IFERROR(__xludf.DUMMYFUNCTION("""COMPUTED_VALUE"""),0.0)</f>
        <v>0</v>
      </c>
      <c r="Q14" s="5">
        <f>IFERROR(__xludf.DUMMYFUNCTION("""COMPUTED_VALUE"""),0.0)</f>
        <v>0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IFERROR(__xludf.DUMMYFUNCTION("""COMPUTED_VALUE"""),136901.0)</f>
        <v>136901</v>
      </c>
      <c r="B15" s="5" t="str">
        <f>IFERROR(__xludf.DUMMYFUNCTION("""COMPUTED_VALUE"""),"内木　睦")</f>
        <v>内木　睦</v>
      </c>
      <c r="C15" s="5" t="str">
        <f>IFERROR(__xludf.DUMMYFUNCTION("""COMPUTED_VALUE"""),"ないき　むつみ")</f>
        <v>ないき　むつみ</v>
      </c>
      <c r="D15" s="5">
        <f>IFERROR(__xludf.DUMMYFUNCTION("""COMPUTED_VALUE"""),3.0)</f>
        <v>3</v>
      </c>
      <c r="E15" s="5" t="str">
        <f>IFERROR(__xludf.DUMMYFUNCTION("""COMPUTED_VALUE"""),"女")</f>
        <v>女</v>
      </c>
      <c r="F15" s="5" t="str">
        <f>IFERROR(__xludf.DUMMYFUNCTION("""COMPUTED_VALUE"""),"WUA")</f>
        <v>WUA</v>
      </c>
      <c r="G15" s="5" t="str">
        <f>IFERROR(__xludf.DUMMYFUNCTION("""COMPUTED_VALUE"""),"○出場")</f>
        <v>○出場</v>
      </c>
      <c r="H15" s="5">
        <f>IFERROR(__xludf.DUMMYFUNCTION("""COMPUTED_VALUE"""),257870.0)</f>
        <v>257870</v>
      </c>
      <c r="I15" s="5" t="str">
        <f>IFERROR(__xludf.DUMMYFUNCTION("""COMPUTED_VALUE"""),"○参加する")</f>
        <v>○参加する</v>
      </c>
      <c r="J15" s="5"/>
      <c r="K15" s="12">
        <f t="shared" si="2"/>
        <v>1</v>
      </c>
    </row>
    <row r="16" ht="19.5" customHeight="1">
      <c r="A16" s="5">
        <f>IFERROR(__xludf.DUMMYFUNCTION("""COMPUTED_VALUE"""),136902.0)</f>
        <v>136902</v>
      </c>
      <c r="B16" s="5" t="str">
        <f>IFERROR(__xludf.DUMMYFUNCTION("""COMPUTED_VALUE"""),"平田　千畝")</f>
        <v>平田　千畝</v>
      </c>
      <c r="C16" s="5" t="str">
        <f>IFERROR(__xludf.DUMMYFUNCTION("""COMPUTED_VALUE"""),"ひらた ちうね")</f>
        <v>ひらた ちうね</v>
      </c>
      <c r="D16" s="5">
        <f>IFERROR(__xludf.DUMMYFUNCTION("""COMPUTED_VALUE"""),3.0)</f>
        <v>3</v>
      </c>
      <c r="E16" s="5" t="str">
        <f>IFERROR(__xludf.DUMMYFUNCTION("""COMPUTED_VALUE"""),"女")</f>
        <v>女</v>
      </c>
      <c r="F16" s="5" t="str">
        <f>IFERROR(__xludf.DUMMYFUNCTION("""COMPUTED_VALUE"""),"WUA")</f>
        <v>WUA</v>
      </c>
      <c r="G16" s="5" t="str">
        <f>IFERROR(__xludf.DUMMYFUNCTION("""COMPUTED_VALUE"""),"○出場")</f>
        <v>○出場</v>
      </c>
      <c r="H16" s="5">
        <f>IFERROR(__xludf.DUMMYFUNCTION("""COMPUTED_VALUE"""),261190.0)</f>
        <v>261190</v>
      </c>
      <c r="I16" s="5" t="str">
        <f>IFERROR(__xludf.DUMMYFUNCTION("""COMPUTED_VALUE"""),"○参加する")</f>
        <v>○参加する</v>
      </c>
      <c r="J16" s="5"/>
      <c r="K16" s="12">
        <f t="shared" si="2"/>
        <v>1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>
        <f>IFERROR(__xludf.DUMMYFUNCTION("""COMPUTED_VALUE"""),136903.0)</f>
        <v>136903</v>
      </c>
      <c r="B17" s="5" t="str">
        <f>IFERROR(__xludf.DUMMYFUNCTION("""COMPUTED_VALUE"""),"細野　泉")</f>
        <v>細野　泉</v>
      </c>
      <c r="C17" s="5" t="str">
        <f>IFERROR(__xludf.DUMMYFUNCTION("""COMPUTED_VALUE"""),"ほその　いずみ")</f>
        <v>ほその　いずみ</v>
      </c>
      <c r="D17" s="5">
        <f>IFERROR(__xludf.DUMMYFUNCTION("""COMPUTED_VALUE"""),3.0)</f>
        <v>3</v>
      </c>
      <c r="E17" s="5" t="str">
        <f>IFERROR(__xludf.DUMMYFUNCTION("""COMPUTED_VALUE"""),"女")</f>
        <v>女</v>
      </c>
      <c r="F17" s="5" t="str">
        <f>IFERROR(__xludf.DUMMYFUNCTION("""COMPUTED_VALUE"""),"WUA")</f>
        <v>WUA</v>
      </c>
      <c r="G17" s="5" t="str">
        <f>IFERROR(__xludf.DUMMYFUNCTION("""COMPUTED_VALUE"""),"○出場")</f>
        <v>○出場</v>
      </c>
      <c r="H17" s="5">
        <f>IFERROR(__xludf.DUMMYFUNCTION("""COMPUTED_VALUE"""),257871.0)</f>
        <v>257871</v>
      </c>
      <c r="I17" s="5" t="str">
        <f>IFERROR(__xludf.DUMMYFUNCTION("""COMPUTED_VALUE"""),"○参加する")</f>
        <v>○参加する</v>
      </c>
      <c r="J17" s="5"/>
      <c r="K17" s="12">
        <f t="shared" si="2"/>
        <v>1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12">
        <f t="shared" si="2"/>
        <v>0</v>
      </c>
      <c r="M18" s="5" t="s">
        <v>28</v>
      </c>
      <c r="N18" s="2" t="s">
        <v>467</v>
      </c>
      <c r="O18" s="4"/>
      <c r="P18" s="2" t="s">
        <v>2331</v>
      </c>
      <c r="Q18" s="3"/>
      <c r="R18" s="3"/>
      <c r="S18" s="3"/>
      <c r="T18" s="3"/>
      <c r="U18" s="4"/>
    </row>
    <row r="19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12">
        <f t="shared" si="2"/>
        <v>0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12">
        <f t="shared" si="2"/>
        <v>0</v>
      </c>
    </row>
    <row r="21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12">
        <f t="shared" si="2"/>
        <v>0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2">
        <f t="shared" si="2"/>
        <v>0</v>
      </c>
      <c r="M23" s="2" t="str">
        <f>IFERROR(__xludf.DUMMYFUNCTION("FILTER('オフィシャル'!$B$2:$B$65,'オフィシャル'!$A$2:$A$65=A1)"),"根岸健仁")</f>
        <v>根岸健仁</v>
      </c>
      <c r="N23" s="4"/>
      <c r="O23" s="2" t="str">
        <f>IFERROR(__xludf.DUMMYFUNCTION("FILTER('オフィシャル'!$C$2:$C$65,'オフィシャル'!$A$2:$A$65=A1)"),"ねぎしけんと")</f>
        <v>ねぎしけんと</v>
      </c>
      <c r="P23" s="3"/>
      <c r="Q23" s="5" t="str">
        <f>IFERROR(__xludf.DUMMYFUNCTION("FILTER('オフィシャル'!$D$2:$D$65,'オフィシャル'!$A$2:$A$65=A1)"),"男")</f>
        <v>男</v>
      </c>
      <c r="R23" s="2" t="str">
        <f>IFERROR(__xludf.DUMMYFUNCTION("FILTER('オフィシャル'!$E$2:$E$65,'オフィシャル'!$A$2:$A$65=A1)"),"○する")</f>
        <v>○する</v>
      </c>
      <c r="S23" s="4"/>
      <c r="T23" s="14" t="str">
        <f>IFERROR(__xludf.DUMMYFUNCTION("FILTER('オフィシャル'!$F$2:$F$65,'オフィシャル'!$A$2:$A$65=A1)"),"")</f>
        <v/>
      </c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2">
        <f t="shared" si="2"/>
        <v>0</v>
      </c>
      <c r="M24" s="2"/>
      <c r="N24" s="4"/>
      <c r="O24" s="2"/>
      <c r="P24" s="3"/>
      <c r="Q24" s="5"/>
      <c r="R24" s="2"/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12">
        <f t="shared" si="2"/>
        <v>0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12">
        <f t="shared" si="2"/>
        <v>0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12">
        <f t="shared" si="2"/>
        <v>0</v>
      </c>
    </row>
    <row r="28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12">
        <f t="shared" si="2"/>
        <v>0</v>
      </c>
    </row>
    <row r="29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12">
        <f t="shared" si="2"/>
        <v>0</v>
      </c>
    </row>
    <row r="3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12">
        <f t="shared" si="2"/>
        <v>0</v>
      </c>
    </row>
    <row r="31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12">
        <f t="shared" si="2"/>
        <v>0</v>
      </c>
    </row>
    <row r="32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12">
        <f t="shared" si="2"/>
        <v>0</v>
      </c>
    </row>
    <row r="33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12">
        <f t="shared" si="2"/>
        <v>0</v>
      </c>
    </row>
    <row r="34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12">
        <f t="shared" si="2"/>
        <v>0</v>
      </c>
    </row>
    <row r="3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12">
        <f t="shared" si="2"/>
        <v>0</v>
      </c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12">
        <f t="shared" si="2"/>
        <v>0</v>
      </c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12">
        <f t="shared" si="2"/>
        <v>0</v>
      </c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12">
        <f t="shared" si="2"/>
        <v>0</v>
      </c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12">
        <f t="shared" si="2"/>
        <v>0</v>
      </c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12">
        <f t="shared" si="2"/>
        <v>0</v>
      </c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12">
        <f t="shared" si="2"/>
        <v>0</v>
      </c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12">
        <f t="shared" si="2"/>
        <v>0</v>
      </c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12">
        <f t="shared" si="2"/>
        <v>0</v>
      </c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12">
        <f t="shared" si="2"/>
        <v>0</v>
      </c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2">
        <f t="shared" si="2"/>
        <v>0</v>
      </c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2">
        <f t="shared" si="2"/>
        <v>0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1325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4</v>
      </c>
      <c r="E4" s="7">
        <f t="shared" ref="E4:E6" si="1">C4*D4</f>
        <v>34000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0</v>
      </c>
      <c r="E5" s="7">
        <f t="shared" si="1"/>
        <v>0</v>
      </c>
    </row>
    <row r="6" ht="19.5" customHeight="1">
      <c r="A6" s="2" t="s">
        <v>9</v>
      </c>
      <c r="B6" s="4"/>
      <c r="C6" s="7">
        <v>32700.0</v>
      </c>
      <c r="D6" s="5">
        <f>D4+D5</f>
        <v>4</v>
      </c>
      <c r="E6" s="7">
        <f t="shared" si="1"/>
        <v>130800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1</v>
      </c>
      <c r="E7" s="7">
        <f>C7*D7/3</f>
        <v>1500</v>
      </c>
      <c r="F7" s="47" t="s">
        <v>2319</v>
      </c>
    </row>
    <row r="8" ht="19.5" customHeight="1">
      <c r="A8" s="2" t="s">
        <v>11</v>
      </c>
      <c r="B8" s="4"/>
      <c r="C8" s="7">
        <v>500.0</v>
      </c>
      <c r="D8" s="5">
        <f>D4-COUNT(H14:H201)</f>
        <v>2</v>
      </c>
      <c r="E8" s="7">
        <f>C8*D8</f>
        <v>1000</v>
      </c>
    </row>
    <row r="9" ht="19.5" customHeight="1">
      <c r="A9" s="9"/>
      <c r="B9" s="9"/>
      <c r="C9" s="9"/>
      <c r="D9" s="10" t="s">
        <v>5</v>
      </c>
      <c r="E9" s="11">
        <f>SUM(E4:E8)</f>
        <v>167300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IFERROR(__xludf.DUMMYFUNCTION("FILTER('個人別エントリー'!C2:L1018,'個人別エントリー'!B2:B1018=A1)"),337201.0)</f>
        <v>337201</v>
      </c>
      <c r="B14" s="5" t="str">
        <f>IFERROR(__xludf.DUMMYFUNCTION("""COMPUTED_VALUE"""),"若林美和")</f>
        <v>若林美和</v>
      </c>
      <c r="C14" s="5" t="str">
        <f>IFERROR(__xludf.DUMMYFUNCTION("""COMPUTED_VALUE"""),"わかばやしみわ")</f>
        <v>わかばやしみわ</v>
      </c>
      <c r="D14" s="5">
        <f>IFERROR(__xludf.DUMMYFUNCTION("""COMPUTED_VALUE"""),1.0)</f>
        <v>1</v>
      </c>
      <c r="E14" s="5" t="str">
        <f>IFERROR(__xludf.DUMMYFUNCTION("""COMPUTED_VALUE"""),"女")</f>
        <v>女</v>
      </c>
      <c r="F14" s="5" t="str">
        <f>IFERROR(__xludf.DUMMYFUNCTION("""COMPUTED_VALUE"""),"×欠場")</f>
        <v>×欠場</v>
      </c>
      <c r="G14" s="5" t="str">
        <f>IFERROR(__xludf.DUMMYFUNCTION("""COMPUTED_VALUE"""),"×欠場")</f>
        <v>×欠場</v>
      </c>
      <c r="H14" s="5"/>
      <c r="I14" s="5" t="str">
        <f>IFERROR(__xludf.DUMMYFUNCTION("""COMPUTED_VALUE"""),"×参加しない")</f>
        <v>×参加しない</v>
      </c>
      <c r="J14" s="5"/>
      <c r="K14" s="12">
        <f t="shared" ref="K14:K201" si="2">IF(AND(OR(F14="×欠場",F14=""),OR(G14="×欠場",G14="")),0,1)</f>
        <v>0</v>
      </c>
      <c r="M14" s="5" t="str">
        <f>IFERROR(__xludf.DUMMYFUNCTION("FILTER('リレー内容'!$C$2:$K$51,'リレー内容'!$B$2:$B$51=A1)"),"○出場")</f>
        <v>○出場</v>
      </c>
      <c r="N14" s="5" t="str">
        <f>IFERROR(__xludf.DUMMYFUNCTION("""COMPUTED_VALUE"""),"×欠場")</f>
        <v>×欠場</v>
      </c>
      <c r="O14" s="5">
        <f>IFERROR(__xludf.DUMMYFUNCTION("""COMPUTED_VALUE"""),0.0)</f>
        <v>0</v>
      </c>
      <c r="P14" s="5">
        <f>IFERROR(__xludf.DUMMYFUNCTION("""COMPUTED_VALUE"""),0.0)</f>
        <v>0</v>
      </c>
      <c r="Q14" s="5">
        <f>IFERROR(__xludf.DUMMYFUNCTION("""COMPUTED_VALUE"""),1.0)</f>
        <v>1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IFERROR(__xludf.DUMMYFUNCTION("""COMPUTED_VALUE"""),337202.0)</f>
        <v>337202</v>
      </c>
      <c r="B15" s="5" t="str">
        <f>IFERROR(__xludf.DUMMYFUNCTION("""COMPUTED_VALUE"""),"野賀建斗")</f>
        <v>野賀建斗</v>
      </c>
      <c r="C15" s="5" t="str">
        <f>IFERROR(__xludf.DUMMYFUNCTION("""COMPUTED_VALUE"""),"のがけんと")</f>
        <v>のがけんと</v>
      </c>
      <c r="D15" s="5">
        <f>IFERROR(__xludf.DUMMYFUNCTION("""COMPUTED_VALUE"""),1.0)</f>
        <v>1</v>
      </c>
      <c r="E15" s="5" t="str">
        <f>IFERROR(__xludf.DUMMYFUNCTION("""COMPUTED_VALUE"""),"男")</f>
        <v>男</v>
      </c>
      <c r="F15" s="5" t="str">
        <f>IFERROR(__xludf.DUMMYFUNCTION("""COMPUTED_VALUE"""),"×欠場")</f>
        <v>×欠場</v>
      </c>
      <c r="G15" s="5" t="str">
        <f>IFERROR(__xludf.DUMMYFUNCTION("""COMPUTED_VALUE"""),"×欠場")</f>
        <v>×欠場</v>
      </c>
      <c r="H15" s="5"/>
      <c r="I15" s="5" t="str">
        <f>IFERROR(__xludf.DUMMYFUNCTION("""COMPUTED_VALUE"""),"×参加しない")</f>
        <v>×参加しない</v>
      </c>
      <c r="J15" s="5"/>
      <c r="K15" s="12">
        <f t="shared" si="2"/>
        <v>0</v>
      </c>
    </row>
    <row r="16" ht="19.5" customHeight="1">
      <c r="A16" s="5">
        <f>IFERROR(__xludf.DUMMYFUNCTION("""COMPUTED_VALUE"""),337203.0)</f>
        <v>337203</v>
      </c>
      <c r="B16" s="5" t="str">
        <f>IFERROR(__xludf.DUMMYFUNCTION("""COMPUTED_VALUE"""),"村田真之介")</f>
        <v>村田真之介</v>
      </c>
      <c r="C16" s="5" t="str">
        <f>IFERROR(__xludf.DUMMYFUNCTION("""COMPUTED_VALUE"""),"むらたしんのすけ")</f>
        <v>むらたしんのすけ</v>
      </c>
      <c r="D16" s="5">
        <f>IFERROR(__xludf.DUMMYFUNCTION("""COMPUTED_VALUE"""),1.0)</f>
        <v>1</v>
      </c>
      <c r="E16" s="5" t="str">
        <f>IFERROR(__xludf.DUMMYFUNCTION("""COMPUTED_VALUE"""),"男")</f>
        <v>男</v>
      </c>
      <c r="F16" s="5" t="str">
        <f>IFERROR(__xludf.DUMMYFUNCTION("""COMPUTED_VALUE"""),"MUF")</f>
        <v>MUF</v>
      </c>
      <c r="G16" s="5" t="str">
        <f>IFERROR(__xludf.DUMMYFUNCTION("""COMPUTED_VALUE"""),"○出場")</f>
        <v>○出場</v>
      </c>
      <c r="H16" s="5">
        <f>IFERROR(__xludf.DUMMYFUNCTION("""COMPUTED_VALUE"""),272298.0)</f>
        <v>272298</v>
      </c>
      <c r="I16" s="5" t="str">
        <f>IFERROR(__xludf.DUMMYFUNCTION("""COMPUTED_VALUE"""),"×参加しない")</f>
        <v>×参加しない</v>
      </c>
      <c r="J16" s="5"/>
      <c r="K16" s="12">
        <f t="shared" si="2"/>
        <v>1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>
        <f>IFERROR(__xludf.DUMMYFUNCTION("""COMPUTED_VALUE"""),337204.0)</f>
        <v>337204</v>
      </c>
      <c r="B17" s="5" t="str">
        <f>IFERROR(__xludf.DUMMYFUNCTION("""COMPUTED_VALUE"""),"高林和輝")</f>
        <v>高林和輝</v>
      </c>
      <c r="C17" s="5" t="str">
        <f>IFERROR(__xludf.DUMMYFUNCTION("""COMPUTED_VALUE"""),"たかばやしかずき")</f>
        <v>たかばやしかずき</v>
      </c>
      <c r="D17" s="5">
        <f>IFERROR(__xludf.DUMMYFUNCTION("""COMPUTED_VALUE"""),1.0)</f>
        <v>1</v>
      </c>
      <c r="E17" s="5" t="str">
        <f>IFERROR(__xludf.DUMMYFUNCTION("""COMPUTED_VALUE"""),"男")</f>
        <v>男</v>
      </c>
      <c r="F17" s="5" t="str">
        <f>IFERROR(__xludf.DUMMYFUNCTION("""COMPUTED_VALUE"""),"×欠場")</f>
        <v>×欠場</v>
      </c>
      <c r="G17" s="5" t="str">
        <f>IFERROR(__xludf.DUMMYFUNCTION("""COMPUTED_VALUE"""),"×欠場")</f>
        <v>×欠場</v>
      </c>
      <c r="H17" s="5"/>
      <c r="I17" s="5" t="str">
        <f>IFERROR(__xludf.DUMMYFUNCTION("""COMPUTED_VALUE"""),"×参加しない")</f>
        <v>×参加しない</v>
      </c>
      <c r="J17" s="5"/>
      <c r="K17" s="12">
        <f t="shared" si="2"/>
        <v>0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>
        <f>IFERROR(__xludf.DUMMYFUNCTION("""COMPUTED_VALUE"""),337205.0)</f>
        <v>337205</v>
      </c>
      <c r="B18" s="5" t="str">
        <f>IFERROR(__xludf.DUMMYFUNCTION("""COMPUTED_VALUE"""),"湊菜々子")</f>
        <v>湊菜々子</v>
      </c>
      <c r="C18" s="5" t="str">
        <f>IFERROR(__xludf.DUMMYFUNCTION("""COMPUTED_VALUE"""),"みなとななこ")</f>
        <v>みなとななこ</v>
      </c>
      <c r="D18" s="5">
        <f>IFERROR(__xludf.DUMMYFUNCTION("""COMPUTED_VALUE"""),1.0)</f>
        <v>1</v>
      </c>
      <c r="E18" s="5" t="str">
        <f>IFERROR(__xludf.DUMMYFUNCTION("""COMPUTED_VALUE"""),"女")</f>
        <v>女</v>
      </c>
      <c r="F18" s="5" t="str">
        <f>IFERROR(__xludf.DUMMYFUNCTION("""COMPUTED_VALUE"""),"WUF")</f>
        <v>WUF</v>
      </c>
      <c r="G18" s="5" t="str">
        <f>IFERROR(__xludf.DUMMYFUNCTION("""COMPUTED_VALUE"""),"○出場")</f>
        <v>○出場</v>
      </c>
      <c r="H18" s="5"/>
      <c r="I18" s="5" t="str">
        <f>IFERROR(__xludf.DUMMYFUNCTION("""COMPUTED_VALUE"""),"×参加しない")</f>
        <v>×参加しない</v>
      </c>
      <c r="J18" s="5"/>
      <c r="K18" s="12">
        <f t="shared" si="2"/>
        <v>1</v>
      </c>
      <c r="M18" s="5" t="s">
        <v>25</v>
      </c>
      <c r="N18" s="2"/>
      <c r="O18" s="4"/>
      <c r="P18" s="2" t="s">
        <v>2333</v>
      </c>
      <c r="Q18" s="3"/>
      <c r="R18" s="3"/>
      <c r="S18" s="3"/>
      <c r="T18" s="3"/>
      <c r="U18" s="4"/>
    </row>
    <row r="19" ht="19.5" customHeight="1">
      <c r="A19" s="5">
        <f>IFERROR(__xludf.DUMMYFUNCTION("""COMPUTED_VALUE"""),337206.0)</f>
        <v>337206</v>
      </c>
      <c r="B19" s="5" t="str">
        <f>IFERROR(__xludf.DUMMYFUNCTION("""COMPUTED_VALUE"""),"松尾晴菜")</f>
        <v>松尾晴菜</v>
      </c>
      <c r="C19" s="5" t="str">
        <f>IFERROR(__xludf.DUMMYFUNCTION("""COMPUTED_VALUE"""),"まつおはるな")</f>
        <v>まつおはるな</v>
      </c>
      <c r="D19" s="5">
        <f>IFERROR(__xludf.DUMMYFUNCTION("""COMPUTED_VALUE"""),1.0)</f>
        <v>1</v>
      </c>
      <c r="E19" s="5" t="str">
        <f>IFERROR(__xludf.DUMMYFUNCTION("""COMPUTED_VALUE"""),"女")</f>
        <v>女</v>
      </c>
      <c r="F19" s="5" t="str">
        <f>IFERROR(__xludf.DUMMYFUNCTION("""COMPUTED_VALUE"""),"WUF")</f>
        <v>WUF</v>
      </c>
      <c r="G19" s="5" t="str">
        <f>IFERROR(__xludf.DUMMYFUNCTION("""COMPUTED_VALUE"""),"○出場")</f>
        <v>○出場</v>
      </c>
      <c r="H19" s="5"/>
      <c r="I19" s="5" t="str">
        <f>IFERROR(__xludf.DUMMYFUNCTION("""COMPUTED_VALUE"""),"×参加しない")</f>
        <v>×参加しない</v>
      </c>
      <c r="J19" s="5"/>
      <c r="K19" s="12">
        <f t="shared" si="2"/>
        <v>1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>
        <f>IFERROR(__xludf.DUMMYFUNCTION("""COMPUTED_VALUE"""),337207.0)</f>
        <v>337207</v>
      </c>
      <c r="B20" s="5" t="str">
        <f>IFERROR(__xludf.DUMMYFUNCTION("""COMPUTED_VALUE"""),"川上健尚")</f>
        <v>川上健尚</v>
      </c>
      <c r="C20" s="5" t="str">
        <f>IFERROR(__xludf.DUMMYFUNCTION("""COMPUTED_VALUE"""),"かわかみけんしょう")</f>
        <v>かわかみけんしょう</v>
      </c>
      <c r="D20" s="5">
        <f>IFERROR(__xludf.DUMMYFUNCTION("""COMPUTED_VALUE"""),1.0)</f>
        <v>1</v>
      </c>
      <c r="E20" s="5" t="str">
        <f>IFERROR(__xludf.DUMMYFUNCTION("""COMPUTED_VALUE"""),"男")</f>
        <v>男</v>
      </c>
      <c r="F20" s="5" t="str">
        <f>IFERROR(__xludf.DUMMYFUNCTION("""COMPUTED_VALUE"""),"×欠場")</f>
        <v>×欠場</v>
      </c>
      <c r="G20" s="5" t="str">
        <f>IFERROR(__xludf.DUMMYFUNCTION("""COMPUTED_VALUE"""),"×欠場")</f>
        <v>×欠場</v>
      </c>
      <c r="H20" s="5"/>
      <c r="I20" s="5" t="str">
        <f>IFERROR(__xludf.DUMMYFUNCTION("""COMPUTED_VALUE"""),"×参加しない")</f>
        <v>×参加しない</v>
      </c>
      <c r="J20" s="5"/>
      <c r="K20" s="12">
        <f t="shared" si="2"/>
        <v>0</v>
      </c>
    </row>
    <row r="21" ht="19.5" customHeight="1">
      <c r="A21" s="5">
        <f>IFERROR(__xludf.DUMMYFUNCTION("""COMPUTED_VALUE"""),337208.0)</f>
        <v>337208</v>
      </c>
      <c r="B21" s="5" t="str">
        <f>IFERROR(__xludf.DUMMYFUNCTION("""COMPUTED_VALUE"""),"小林幹太")</f>
        <v>小林幹太</v>
      </c>
      <c r="C21" s="5" t="str">
        <f>IFERROR(__xludf.DUMMYFUNCTION("""COMPUTED_VALUE"""),"こばやしかんた")</f>
        <v>こばやしかんた</v>
      </c>
      <c r="D21" s="5">
        <f>IFERROR(__xludf.DUMMYFUNCTION("""COMPUTED_VALUE"""),1.0)</f>
        <v>1</v>
      </c>
      <c r="E21" s="5" t="str">
        <f>IFERROR(__xludf.DUMMYFUNCTION("""COMPUTED_VALUE"""),"男")</f>
        <v>男</v>
      </c>
      <c r="F21" s="5" t="str">
        <f>IFERROR(__xludf.DUMMYFUNCTION("""COMPUTED_VALUE"""),"×欠場")</f>
        <v>×欠場</v>
      </c>
      <c r="G21" s="5" t="str">
        <f>IFERROR(__xludf.DUMMYFUNCTION("""COMPUTED_VALUE"""),"×欠場")</f>
        <v>×欠場</v>
      </c>
      <c r="H21" s="5"/>
      <c r="I21" s="5" t="str">
        <f>IFERROR(__xludf.DUMMYFUNCTION("""COMPUTED_VALUE"""),"×参加しない")</f>
        <v>×参加しない</v>
      </c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>
        <f>IFERROR(__xludf.DUMMYFUNCTION("""COMPUTED_VALUE"""),337209.0)</f>
        <v>337209</v>
      </c>
      <c r="B22" s="5" t="str">
        <f>IFERROR(__xludf.DUMMYFUNCTION("""COMPUTED_VALUE"""),"古川智大")</f>
        <v>古川智大</v>
      </c>
      <c r="C22" s="5" t="str">
        <f>IFERROR(__xludf.DUMMYFUNCTION("""COMPUTED_VALUE"""),"ふるかわともひろ")</f>
        <v>ふるかわともひろ</v>
      </c>
      <c r="D22" s="5">
        <f>IFERROR(__xludf.DUMMYFUNCTION("""COMPUTED_VALUE"""),1.0)</f>
        <v>1</v>
      </c>
      <c r="E22" s="5" t="str">
        <f>IFERROR(__xludf.DUMMYFUNCTION("""COMPUTED_VALUE"""),"男")</f>
        <v>男</v>
      </c>
      <c r="F22" s="5" t="str">
        <f>IFERROR(__xludf.DUMMYFUNCTION("""COMPUTED_VALUE"""),"×欠場")</f>
        <v>×欠場</v>
      </c>
      <c r="G22" s="5" t="str">
        <f>IFERROR(__xludf.DUMMYFUNCTION("""COMPUTED_VALUE"""),"×欠場")</f>
        <v>×欠場</v>
      </c>
      <c r="H22" s="5"/>
      <c r="I22" s="5" t="str">
        <f>IFERROR(__xludf.DUMMYFUNCTION("""COMPUTED_VALUE"""),"×参加しない")</f>
        <v>×参加しない</v>
      </c>
      <c r="J22" s="5"/>
      <c r="K22" s="12">
        <f t="shared" si="2"/>
        <v>0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>
        <f>IFERROR(__xludf.DUMMYFUNCTION("""COMPUTED_VALUE"""),337210.0)</f>
        <v>337210</v>
      </c>
      <c r="B23" s="5" t="str">
        <f>IFERROR(__xludf.DUMMYFUNCTION("""COMPUTED_VALUE"""),"星野夏也")</f>
        <v>星野夏也</v>
      </c>
      <c r="C23" s="5" t="str">
        <f>IFERROR(__xludf.DUMMYFUNCTION("""COMPUTED_VALUE"""),"ほしのなつや")</f>
        <v>ほしのなつや</v>
      </c>
      <c r="D23" s="5">
        <f>IFERROR(__xludf.DUMMYFUNCTION("""COMPUTED_VALUE"""),1.0)</f>
        <v>1</v>
      </c>
      <c r="E23" s="5" t="str">
        <f>IFERROR(__xludf.DUMMYFUNCTION("""COMPUTED_VALUE"""),"男")</f>
        <v>男</v>
      </c>
      <c r="F23" s="5" t="str">
        <f>IFERROR(__xludf.DUMMYFUNCTION("""COMPUTED_VALUE"""),"×欠場")</f>
        <v>×欠場</v>
      </c>
      <c r="G23" s="5" t="str">
        <f>IFERROR(__xludf.DUMMYFUNCTION("""COMPUTED_VALUE"""),"×欠場")</f>
        <v>×欠場</v>
      </c>
      <c r="H23" s="5"/>
      <c r="I23" s="5" t="str">
        <f>IFERROR(__xludf.DUMMYFUNCTION("""COMPUTED_VALUE"""),"×参加しない")</f>
        <v>×参加しない</v>
      </c>
      <c r="J23" s="5"/>
      <c r="K23" s="12">
        <f t="shared" si="2"/>
        <v>0</v>
      </c>
      <c r="M23" s="2"/>
      <c r="N23" s="4"/>
      <c r="O23" s="2"/>
      <c r="P23" s="3"/>
      <c r="Q23" s="5"/>
      <c r="R23" s="2"/>
      <c r="S23" s="4"/>
      <c r="T23" s="14"/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>
        <f>IFERROR(__xludf.DUMMYFUNCTION("""COMPUTED_VALUE"""),337211.0)</f>
        <v>337211</v>
      </c>
      <c r="B24" s="5" t="str">
        <f>IFERROR(__xludf.DUMMYFUNCTION("""COMPUTED_VALUE"""),"石原怜奈")</f>
        <v>石原怜奈</v>
      </c>
      <c r="C24" s="5" t="str">
        <f>IFERROR(__xludf.DUMMYFUNCTION("""COMPUTED_VALUE"""),"いしはられな")</f>
        <v>いしはられな</v>
      </c>
      <c r="D24" s="5">
        <f>IFERROR(__xludf.DUMMYFUNCTION("""COMPUTED_VALUE"""),1.0)</f>
        <v>1</v>
      </c>
      <c r="E24" s="5" t="str">
        <f>IFERROR(__xludf.DUMMYFUNCTION("""COMPUTED_VALUE"""),"女")</f>
        <v>女</v>
      </c>
      <c r="F24" s="5" t="str">
        <f>IFERROR(__xludf.DUMMYFUNCTION("""COMPUTED_VALUE"""),"×欠場")</f>
        <v>×欠場</v>
      </c>
      <c r="G24" s="5" t="str">
        <f>IFERROR(__xludf.DUMMYFUNCTION("""COMPUTED_VALUE"""),"×欠場")</f>
        <v>×欠場</v>
      </c>
      <c r="H24" s="5"/>
      <c r="I24" s="5" t="str">
        <f>IFERROR(__xludf.DUMMYFUNCTION("""COMPUTED_VALUE"""),"×参加しない")</f>
        <v>×参加しない</v>
      </c>
      <c r="J24" s="5"/>
      <c r="K24" s="12">
        <f t="shared" si="2"/>
        <v>0</v>
      </c>
      <c r="M24" s="2"/>
      <c r="N24" s="4"/>
      <c r="O24" s="2"/>
      <c r="P24" s="3"/>
      <c r="Q24" s="5"/>
      <c r="R24" s="2"/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>
        <f>IFERROR(__xludf.DUMMYFUNCTION("""COMPUTED_VALUE"""),337212.0)</f>
        <v>337212</v>
      </c>
      <c r="B25" s="5" t="str">
        <f>IFERROR(__xludf.DUMMYFUNCTION("""COMPUTED_VALUE"""),"辻村太成")</f>
        <v>辻村太成</v>
      </c>
      <c r="C25" s="5" t="str">
        <f>IFERROR(__xludf.DUMMYFUNCTION("""COMPUTED_VALUE"""),"つじむらたいせい")</f>
        <v>つじむらたいせい</v>
      </c>
      <c r="D25" s="5">
        <f>IFERROR(__xludf.DUMMYFUNCTION("""COMPUTED_VALUE"""),1.0)</f>
        <v>1</v>
      </c>
      <c r="E25" s="5" t="str">
        <f>IFERROR(__xludf.DUMMYFUNCTION("""COMPUTED_VALUE"""),"男")</f>
        <v>男</v>
      </c>
      <c r="F25" s="5" t="str">
        <f>IFERROR(__xludf.DUMMYFUNCTION("""COMPUTED_VALUE"""),"×欠場")</f>
        <v>×欠場</v>
      </c>
      <c r="G25" s="5" t="str">
        <f>IFERROR(__xludf.DUMMYFUNCTION("""COMPUTED_VALUE"""),"×欠場")</f>
        <v>×欠場</v>
      </c>
      <c r="H25" s="5"/>
      <c r="I25" s="5" t="str">
        <f>IFERROR(__xludf.DUMMYFUNCTION("""COMPUTED_VALUE"""),"×参加しない")</f>
        <v>×参加しない</v>
      </c>
      <c r="J25" s="5"/>
      <c r="K25" s="12">
        <f t="shared" si="2"/>
        <v>0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>
        <f>IFERROR(__xludf.DUMMYFUNCTION("""COMPUTED_VALUE"""),337213.0)</f>
        <v>337213</v>
      </c>
      <c r="B26" s="5" t="str">
        <f>IFERROR(__xludf.DUMMYFUNCTION("""COMPUTED_VALUE"""),"武士朔也")</f>
        <v>武士朔也</v>
      </c>
      <c r="C26" s="5" t="str">
        <f>IFERROR(__xludf.DUMMYFUNCTION("""COMPUTED_VALUE"""),"たけしさくや")</f>
        <v>たけしさくや</v>
      </c>
      <c r="D26" s="5">
        <f>IFERROR(__xludf.DUMMYFUNCTION("""COMPUTED_VALUE"""),1.0)</f>
        <v>1</v>
      </c>
      <c r="E26" s="5" t="str">
        <f>IFERROR(__xludf.DUMMYFUNCTION("""COMPUTED_VALUE"""),"男")</f>
        <v>男</v>
      </c>
      <c r="F26" s="5" t="str">
        <f>IFERROR(__xludf.DUMMYFUNCTION("""COMPUTED_VALUE"""),"×欠場")</f>
        <v>×欠場</v>
      </c>
      <c r="G26" s="5" t="str">
        <f>IFERROR(__xludf.DUMMYFUNCTION("""COMPUTED_VALUE"""),"×欠場")</f>
        <v>×欠場</v>
      </c>
      <c r="H26" s="5"/>
      <c r="I26" s="5" t="str">
        <f>IFERROR(__xludf.DUMMYFUNCTION("""COMPUTED_VALUE"""),"×参加しない")</f>
        <v>×参加しない</v>
      </c>
      <c r="J26" s="5"/>
      <c r="K26" s="12">
        <f t="shared" si="2"/>
        <v>0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>
        <f>IFERROR(__xludf.DUMMYFUNCTION("""COMPUTED_VALUE"""),337214.0)</f>
        <v>337214</v>
      </c>
      <c r="B27" s="5" t="str">
        <f>IFERROR(__xludf.DUMMYFUNCTION("""COMPUTED_VALUE"""),"上野臺　優太")</f>
        <v>上野臺　優太</v>
      </c>
      <c r="C27" s="5" t="str">
        <f>IFERROR(__xludf.DUMMYFUNCTION("""COMPUTED_VALUE"""),"うえのだいゆうた")</f>
        <v>うえのだいゆうた</v>
      </c>
      <c r="D27" s="5">
        <f>IFERROR(__xludf.DUMMYFUNCTION("""COMPUTED_VALUE"""),1.0)</f>
        <v>1</v>
      </c>
      <c r="E27" s="5" t="str">
        <f>IFERROR(__xludf.DUMMYFUNCTION("""COMPUTED_VALUE"""),"男")</f>
        <v>男</v>
      </c>
      <c r="F27" s="5" t="str">
        <f>IFERROR(__xludf.DUMMYFUNCTION("""COMPUTED_VALUE"""),"×欠場")</f>
        <v>×欠場</v>
      </c>
      <c r="G27" s="5" t="str">
        <f>IFERROR(__xludf.DUMMYFUNCTION("""COMPUTED_VALUE"""),"×欠場")</f>
        <v>×欠場</v>
      </c>
      <c r="H27" s="5"/>
      <c r="I27" s="5" t="str">
        <f>IFERROR(__xludf.DUMMYFUNCTION("""COMPUTED_VALUE"""),"×参加しない")</f>
        <v>×参加しない</v>
      </c>
      <c r="J27" s="5"/>
      <c r="K27" s="12">
        <f t="shared" si="2"/>
        <v>0</v>
      </c>
    </row>
    <row r="28" ht="19.5" customHeight="1">
      <c r="A28" s="5">
        <f>IFERROR(__xludf.DUMMYFUNCTION("""COMPUTED_VALUE"""),337215.0)</f>
        <v>337215</v>
      </c>
      <c r="B28" s="5" t="str">
        <f>IFERROR(__xludf.DUMMYFUNCTION("""COMPUTED_VALUE"""),"高橋民奈")</f>
        <v>高橋民奈</v>
      </c>
      <c r="C28" s="5" t="str">
        <f>IFERROR(__xludf.DUMMYFUNCTION("""COMPUTED_VALUE"""),"たかはしみな")</f>
        <v>たかはしみな</v>
      </c>
      <c r="D28" s="5">
        <f>IFERROR(__xludf.DUMMYFUNCTION("""COMPUTED_VALUE"""),1.0)</f>
        <v>1</v>
      </c>
      <c r="E28" s="5" t="str">
        <f>IFERROR(__xludf.DUMMYFUNCTION("""COMPUTED_VALUE"""),"女")</f>
        <v>女</v>
      </c>
      <c r="F28" s="5" t="str">
        <f>IFERROR(__xludf.DUMMYFUNCTION("""COMPUTED_VALUE"""),"×欠場")</f>
        <v>×欠場</v>
      </c>
      <c r="G28" s="5" t="str">
        <f>IFERROR(__xludf.DUMMYFUNCTION("""COMPUTED_VALUE"""),"×欠場")</f>
        <v>×欠場</v>
      </c>
      <c r="H28" s="5"/>
      <c r="I28" s="5" t="str">
        <f>IFERROR(__xludf.DUMMYFUNCTION("""COMPUTED_VALUE"""),"×参加しない")</f>
        <v>×参加しない</v>
      </c>
      <c r="J28" s="5"/>
      <c r="K28" s="12">
        <f t="shared" si="2"/>
        <v>0</v>
      </c>
    </row>
    <row r="29" ht="19.5" customHeight="1">
      <c r="A29" s="5">
        <f>IFERROR(__xludf.DUMMYFUNCTION("""COMPUTED_VALUE"""),337216.0)</f>
        <v>337216</v>
      </c>
      <c r="B29" s="5" t="str">
        <f>IFERROR(__xludf.DUMMYFUNCTION("""COMPUTED_VALUE"""),"川俣祐人")</f>
        <v>川俣祐人</v>
      </c>
      <c r="C29" s="5" t="str">
        <f>IFERROR(__xludf.DUMMYFUNCTION("""COMPUTED_VALUE"""),"かわまたゆうと")</f>
        <v>かわまたゆうと</v>
      </c>
      <c r="D29" s="5">
        <f>IFERROR(__xludf.DUMMYFUNCTION("""COMPUTED_VALUE"""),1.0)</f>
        <v>1</v>
      </c>
      <c r="E29" s="5" t="str">
        <f>IFERROR(__xludf.DUMMYFUNCTION("""COMPUTED_VALUE"""),"男")</f>
        <v>男</v>
      </c>
      <c r="F29" s="5" t="str">
        <f>IFERROR(__xludf.DUMMYFUNCTION("""COMPUTED_VALUE"""),"×欠場")</f>
        <v>×欠場</v>
      </c>
      <c r="G29" s="5" t="str">
        <f>IFERROR(__xludf.DUMMYFUNCTION("""COMPUTED_VALUE"""),"×欠場")</f>
        <v>×欠場</v>
      </c>
      <c r="H29" s="5"/>
      <c r="I29" s="5" t="str">
        <f>IFERROR(__xludf.DUMMYFUNCTION("""COMPUTED_VALUE"""),"×参加しない")</f>
        <v>×参加しない</v>
      </c>
      <c r="J29" s="5"/>
      <c r="K29" s="12">
        <f t="shared" si="2"/>
        <v>0</v>
      </c>
    </row>
    <row r="30" ht="19.5" customHeight="1">
      <c r="A30" s="5">
        <f>IFERROR(__xludf.DUMMYFUNCTION("""COMPUTED_VALUE"""),237202.0)</f>
        <v>237202</v>
      </c>
      <c r="B30" s="5" t="str">
        <f>IFERROR(__xludf.DUMMYFUNCTION("""COMPUTED_VALUE"""),"松山空聖")</f>
        <v>松山空聖</v>
      </c>
      <c r="C30" s="5" t="str">
        <f>IFERROR(__xludf.DUMMYFUNCTION("""COMPUTED_VALUE"""),"まつやまてんせい")</f>
        <v>まつやまてんせい</v>
      </c>
      <c r="D30" s="5">
        <f>IFERROR(__xludf.DUMMYFUNCTION("""COMPUTED_VALUE"""),2.0)</f>
        <v>2</v>
      </c>
      <c r="E30" s="5" t="str">
        <f>IFERROR(__xludf.DUMMYFUNCTION("""COMPUTED_VALUE"""),"男")</f>
        <v>男</v>
      </c>
      <c r="F30" s="5" t="str">
        <f>IFERROR(__xludf.DUMMYFUNCTION("""COMPUTED_VALUE"""),"×欠場")</f>
        <v>×欠場</v>
      </c>
      <c r="G30" s="5" t="str">
        <f>IFERROR(__xludf.DUMMYFUNCTION("""COMPUTED_VALUE"""),"×欠場")</f>
        <v>×欠場</v>
      </c>
      <c r="H30" s="5"/>
      <c r="I30" s="5" t="str">
        <f>IFERROR(__xludf.DUMMYFUNCTION("""COMPUTED_VALUE"""),"×参加しない")</f>
        <v>×参加しない</v>
      </c>
      <c r="J30" s="5"/>
      <c r="K30" s="12">
        <f t="shared" si="2"/>
        <v>0</v>
      </c>
    </row>
    <row r="31" ht="19.5" customHeight="1">
      <c r="A31" s="5">
        <f>IFERROR(__xludf.DUMMYFUNCTION("""COMPUTED_VALUE"""),237203.0)</f>
        <v>237203</v>
      </c>
      <c r="B31" s="5" t="str">
        <f>IFERROR(__xludf.DUMMYFUNCTION("""COMPUTED_VALUE"""),"山口晃生")</f>
        <v>山口晃生</v>
      </c>
      <c r="C31" s="5" t="str">
        <f>IFERROR(__xludf.DUMMYFUNCTION("""COMPUTED_VALUE"""),"やまぐちこうき")</f>
        <v>やまぐちこうき</v>
      </c>
      <c r="D31" s="5">
        <f>IFERROR(__xludf.DUMMYFUNCTION("""COMPUTED_VALUE"""),2.0)</f>
        <v>2</v>
      </c>
      <c r="E31" s="5" t="str">
        <f>IFERROR(__xludf.DUMMYFUNCTION("""COMPUTED_VALUE"""),"男")</f>
        <v>男</v>
      </c>
      <c r="F31" s="5" t="str">
        <f>IFERROR(__xludf.DUMMYFUNCTION("""COMPUTED_VALUE"""),"×欠場")</f>
        <v>×欠場</v>
      </c>
      <c r="G31" s="5" t="str">
        <f>IFERROR(__xludf.DUMMYFUNCTION("""COMPUTED_VALUE"""),"×欠場")</f>
        <v>×欠場</v>
      </c>
      <c r="H31" s="5"/>
      <c r="I31" s="5" t="str">
        <f>IFERROR(__xludf.DUMMYFUNCTION("""COMPUTED_VALUE"""),"×参加しない")</f>
        <v>×参加しない</v>
      </c>
      <c r="J31" s="5"/>
      <c r="K31" s="12">
        <f t="shared" si="2"/>
        <v>0</v>
      </c>
    </row>
    <row r="32" ht="19.5" customHeight="1">
      <c r="A32" s="5">
        <f>IFERROR(__xludf.DUMMYFUNCTION("""COMPUTED_VALUE"""),237204.0)</f>
        <v>237204</v>
      </c>
      <c r="B32" s="5" t="str">
        <f>IFERROR(__xludf.DUMMYFUNCTION("""COMPUTED_VALUE"""),"上沢空良")</f>
        <v>上沢空良</v>
      </c>
      <c r="C32" s="5" t="str">
        <f>IFERROR(__xludf.DUMMYFUNCTION("""COMPUTED_VALUE"""),"かみさわそら")</f>
        <v>かみさわそら</v>
      </c>
      <c r="D32" s="5">
        <f>IFERROR(__xludf.DUMMYFUNCTION("""COMPUTED_VALUE"""),2.0)</f>
        <v>2</v>
      </c>
      <c r="E32" s="5" t="str">
        <f>IFERROR(__xludf.DUMMYFUNCTION("""COMPUTED_VALUE"""),"男")</f>
        <v>男</v>
      </c>
      <c r="F32" s="5" t="str">
        <f>IFERROR(__xludf.DUMMYFUNCTION("""COMPUTED_VALUE"""),"×欠場")</f>
        <v>×欠場</v>
      </c>
      <c r="G32" s="5" t="str">
        <f>IFERROR(__xludf.DUMMYFUNCTION("""COMPUTED_VALUE"""),"×欠場")</f>
        <v>×欠場</v>
      </c>
      <c r="H32" s="5"/>
      <c r="I32" s="5" t="str">
        <f>IFERROR(__xludf.DUMMYFUNCTION("""COMPUTED_VALUE"""),"×参加しない")</f>
        <v>×参加しない</v>
      </c>
      <c r="J32" s="5"/>
      <c r="K32" s="12">
        <f t="shared" si="2"/>
        <v>0</v>
      </c>
    </row>
    <row r="33" ht="19.5" customHeight="1">
      <c r="A33" s="5">
        <f>IFERROR(__xludf.DUMMYFUNCTION("""COMPUTED_VALUE"""),237205.0)</f>
        <v>237205</v>
      </c>
      <c r="B33" s="5" t="str">
        <f>IFERROR(__xludf.DUMMYFUNCTION("""COMPUTED_VALUE"""),"大森晴輝")</f>
        <v>大森晴輝</v>
      </c>
      <c r="C33" s="5" t="str">
        <f>IFERROR(__xludf.DUMMYFUNCTION("""COMPUTED_VALUE"""),"おおもりはるき")</f>
        <v>おおもりはるき</v>
      </c>
      <c r="D33" s="5">
        <f>IFERROR(__xludf.DUMMYFUNCTION("""COMPUTED_VALUE"""),2.0)</f>
        <v>2</v>
      </c>
      <c r="E33" s="5" t="str">
        <f>IFERROR(__xludf.DUMMYFUNCTION("""COMPUTED_VALUE"""),"男")</f>
        <v>男</v>
      </c>
      <c r="F33" s="5" t="str">
        <f>IFERROR(__xludf.DUMMYFUNCTION("""COMPUTED_VALUE"""),"×欠場")</f>
        <v>×欠場</v>
      </c>
      <c r="G33" s="5" t="str">
        <f>IFERROR(__xludf.DUMMYFUNCTION("""COMPUTED_VALUE"""),"×欠場")</f>
        <v>×欠場</v>
      </c>
      <c r="H33" s="5"/>
      <c r="I33" s="5" t="str">
        <f>IFERROR(__xludf.DUMMYFUNCTION("""COMPUTED_VALUE"""),"×参加しない")</f>
        <v>×参加しない</v>
      </c>
      <c r="J33" s="5"/>
      <c r="K33" s="12">
        <f t="shared" si="2"/>
        <v>0</v>
      </c>
    </row>
    <row r="34" ht="19.5" customHeight="1">
      <c r="A34" s="5">
        <f>IFERROR(__xludf.DUMMYFUNCTION("""COMPUTED_VALUE"""),237206.0)</f>
        <v>237206</v>
      </c>
      <c r="B34" s="5" t="str">
        <f>IFERROR(__xludf.DUMMYFUNCTION("""COMPUTED_VALUE"""),"大河原穣")</f>
        <v>大河原穣</v>
      </c>
      <c r="C34" s="5" t="str">
        <f>IFERROR(__xludf.DUMMYFUNCTION("""COMPUTED_VALUE"""),"おおかわらみのる")</f>
        <v>おおかわらみのる</v>
      </c>
      <c r="D34" s="5">
        <f>IFERROR(__xludf.DUMMYFUNCTION("""COMPUTED_VALUE"""),2.0)</f>
        <v>2</v>
      </c>
      <c r="E34" s="5" t="str">
        <f>IFERROR(__xludf.DUMMYFUNCTION("""COMPUTED_VALUE"""),"男")</f>
        <v>男</v>
      </c>
      <c r="F34" s="5" t="str">
        <f>IFERROR(__xludf.DUMMYFUNCTION("""COMPUTED_VALUE"""),"×欠場")</f>
        <v>×欠場</v>
      </c>
      <c r="G34" s="5" t="str">
        <f>IFERROR(__xludf.DUMMYFUNCTION("""COMPUTED_VALUE"""),"×欠場")</f>
        <v>×欠場</v>
      </c>
      <c r="H34" s="5"/>
      <c r="I34" s="5" t="str">
        <f>IFERROR(__xludf.DUMMYFUNCTION("""COMPUTED_VALUE"""),"×参加しない")</f>
        <v>×参加しない</v>
      </c>
      <c r="J34" s="5"/>
      <c r="K34" s="12">
        <f t="shared" si="2"/>
        <v>0</v>
      </c>
    </row>
    <row r="35" ht="19.5" customHeight="1">
      <c r="A35" s="5">
        <f>IFERROR(__xludf.DUMMYFUNCTION("""COMPUTED_VALUE"""),237207.0)</f>
        <v>237207</v>
      </c>
      <c r="B35" s="5" t="str">
        <f>IFERROR(__xludf.DUMMYFUNCTION("""COMPUTED_VALUE"""),"横山廉")</f>
        <v>横山廉</v>
      </c>
      <c r="C35" s="5" t="str">
        <f>IFERROR(__xludf.DUMMYFUNCTION("""COMPUTED_VALUE"""),"よこやまれん")</f>
        <v>よこやまれん</v>
      </c>
      <c r="D35" s="5">
        <f>IFERROR(__xludf.DUMMYFUNCTION("""COMPUTED_VALUE"""),2.0)</f>
        <v>2</v>
      </c>
      <c r="E35" s="5" t="str">
        <f>IFERROR(__xludf.DUMMYFUNCTION("""COMPUTED_VALUE"""),"男")</f>
        <v>男</v>
      </c>
      <c r="F35" s="5" t="str">
        <f>IFERROR(__xludf.DUMMYFUNCTION("""COMPUTED_VALUE"""),"×欠場")</f>
        <v>×欠場</v>
      </c>
      <c r="G35" s="5" t="str">
        <f>IFERROR(__xludf.DUMMYFUNCTION("""COMPUTED_VALUE"""),"×欠場")</f>
        <v>×欠場</v>
      </c>
      <c r="H35" s="5"/>
      <c r="I35" s="5" t="str">
        <f>IFERROR(__xludf.DUMMYFUNCTION("""COMPUTED_VALUE"""),"×参加しない")</f>
        <v>×参加しない</v>
      </c>
      <c r="J35" s="5"/>
      <c r="K35" s="12">
        <f t="shared" si="2"/>
        <v>0</v>
      </c>
    </row>
    <row r="36" ht="19.5" customHeight="1">
      <c r="A36" s="5">
        <f>IFERROR(__xludf.DUMMYFUNCTION("""COMPUTED_VALUE"""),237208.0)</f>
        <v>237208</v>
      </c>
      <c r="B36" s="5" t="str">
        <f>IFERROR(__xludf.DUMMYFUNCTION("""COMPUTED_VALUE"""),"松岡由真")</f>
        <v>松岡由真</v>
      </c>
      <c r="C36" s="5" t="str">
        <f>IFERROR(__xludf.DUMMYFUNCTION("""COMPUTED_VALUE"""),"まつおかゆま")</f>
        <v>まつおかゆま</v>
      </c>
      <c r="D36" s="5">
        <f>IFERROR(__xludf.DUMMYFUNCTION("""COMPUTED_VALUE"""),2.0)</f>
        <v>2</v>
      </c>
      <c r="E36" s="5" t="str">
        <f>IFERROR(__xludf.DUMMYFUNCTION("""COMPUTED_VALUE"""),"女")</f>
        <v>女</v>
      </c>
      <c r="F36" s="5" t="str">
        <f>IFERROR(__xludf.DUMMYFUNCTION("""COMPUTED_VALUE"""),"×欠場")</f>
        <v>×欠場</v>
      </c>
      <c r="G36" s="5" t="str">
        <f>IFERROR(__xludf.DUMMYFUNCTION("""COMPUTED_VALUE"""),"×欠場")</f>
        <v>×欠場</v>
      </c>
      <c r="H36" s="5"/>
      <c r="I36" s="5" t="str">
        <f>IFERROR(__xludf.DUMMYFUNCTION("""COMPUTED_VALUE"""),"×参加しない")</f>
        <v>×参加しない</v>
      </c>
      <c r="J36" s="5"/>
      <c r="K36" s="12">
        <f t="shared" si="2"/>
        <v>0</v>
      </c>
    </row>
    <row r="37" ht="19.5" customHeight="1">
      <c r="A37" s="5">
        <f>IFERROR(__xludf.DUMMYFUNCTION("""COMPUTED_VALUE"""),237209.0)</f>
        <v>237209</v>
      </c>
      <c r="B37" s="5" t="str">
        <f>IFERROR(__xludf.DUMMYFUNCTION("""COMPUTED_VALUE"""),"和田早織")</f>
        <v>和田早織</v>
      </c>
      <c r="C37" s="5" t="str">
        <f>IFERROR(__xludf.DUMMYFUNCTION("""COMPUTED_VALUE"""),"わださおり")</f>
        <v>わださおり</v>
      </c>
      <c r="D37" s="5">
        <f>IFERROR(__xludf.DUMMYFUNCTION("""COMPUTED_VALUE"""),2.0)</f>
        <v>2</v>
      </c>
      <c r="E37" s="5" t="str">
        <f>IFERROR(__xludf.DUMMYFUNCTION("""COMPUTED_VALUE"""),"女")</f>
        <v>女</v>
      </c>
      <c r="F37" s="5" t="str">
        <f>IFERROR(__xludf.DUMMYFUNCTION("""COMPUTED_VALUE"""),"×欠場")</f>
        <v>×欠場</v>
      </c>
      <c r="G37" s="5" t="str">
        <f>IFERROR(__xludf.DUMMYFUNCTION("""COMPUTED_VALUE"""),"×欠場")</f>
        <v>×欠場</v>
      </c>
      <c r="H37" s="5"/>
      <c r="I37" s="5" t="str">
        <f>IFERROR(__xludf.DUMMYFUNCTION("""COMPUTED_VALUE"""),"×参加しない")</f>
        <v>×参加しない</v>
      </c>
      <c r="J37" s="5"/>
      <c r="K37" s="12">
        <f t="shared" si="2"/>
        <v>0</v>
      </c>
    </row>
    <row r="38" ht="19.5" customHeight="1">
      <c r="A38" s="5">
        <f>IFERROR(__xludf.DUMMYFUNCTION("""COMPUTED_VALUE"""),237211.0)</f>
        <v>237211</v>
      </c>
      <c r="B38" s="5" t="str">
        <f>IFERROR(__xludf.DUMMYFUNCTION("""COMPUTED_VALUE"""),"小沼義政")</f>
        <v>小沼義政</v>
      </c>
      <c r="C38" s="5" t="str">
        <f>IFERROR(__xludf.DUMMYFUNCTION("""COMPUTED_VALUE"""),"おぬまよしまさ")</f>
        <v>おぬまよしまさ</v>
      </c>
      <c r="D38" s="5">
        <f>IFERROR(__xludf.DUMMYFUNCTION("""COMPUTED_VALUE"""),2.0)</f>
        <v>2</v>
      </c>
      <c r="E38" s="5" t="str">
        <f>IFERROR(__xludf.DUMMYFUNCTION("""COMPUTED_VALUE"""),"男")</f>
        <v>男</v>
      </c>
      <c r="F38" s="5" t="str">
        <f>IFERROR(__xludf.DUMMYFUNCTION("""COMPUTED_VALUE"""),"×欠場")</f>
        <v>×欠場</v>
      </c>
      <c r="G38" s="5" t="str">
        <f>IFERROR(__xludf.DUMMYFUNCTION("""COMPUTED_VALUE"""),"×欠場")</f>
        <v>×欠場</v>
      </c>
      <c r="H38" s="5"/>
      <c r="I38" s="5" t="str">
        <f>IFERROR(__xludf.DUMMYFUNCTION("""COMPUTED_VALUE"""),"×参加しない")</f>
        <v>×参加しない</v>
      </c>
      <c r="J38" s="5"/>
      <c r="K38" s="12">
        <f t="shared" si="2"/>
        <v>0</v>
      </c>
    </row>
    <row r="39" ht="19.5" customHeight="1">
      <c r="A39" s="5">
        <f>IFERROR(__xludf.DUMMYFUNCTION("""COMPUTED_VALUE"""),237212.0)</f>
        <v>237212</v>
      </c>
      <c r="B39" s="5" t="str">
        <f>IFERROR(__xludf.DUMMYFUNCTION("""COMPUTED_VALUE"""),"三宅寛太")</f>
        <v>三宅寛太</v>
      </c>
      <c r="C39" s="5" t="str">
        <f>IFERROR(__xludf.DUMMYFUNCTION("""COMPUTED_VALUE"""),"みやけかんた")</f>
        <v>みやけかんた</v>
      </c>
      <c r="D39" s="5">
        <f>IFERROR(__xludf.DUMMYFUNCTION("""COMPUTED_VALUE"""),2.0)</f>
        <v>2</v>
      </c>
      <c r="E39" s="5" t="str">
        <f>IFERROR(__xludf.DUMMYFUNCTION("""COMPUTED_VALUE"""),"男")</f>
        <v>男</v>
      </c>
      <c r="F39" s="5" t="str">
        <f>IFERROR(__xludf.DUMMYFUNCTION("""COMPUTED_VALUE"""),"×欠場")</f>
        <v>×欠場</v>
      </c>
      <c r="G39" s="5" t="str">
        <f>IFERROR(__xludf.DUMMYFUNCTION("""COMPUTED_VALUE"""),"×欠場")</f>
        <v>×欠場</v>
      </c>
      <c r="H39" s="5"/>
      <c r="I39" s="5" t="str">
        <f>IFERROR(__xludf.DUMMYFUNCTION("""COMPUTED_VALUE"""),"×参加しない")</f>
        <v>×参加しない</v>
      </c>
      <c r="J39" s="5"/>
      <c r="K39" s="12">
        <f t="shared" si="2"/>
        <v>0</v>
      </c>
    </row>
    <row r="40" ht="19.5" customHeight="1">
      <c r="A40" s="5">
        <f>IFERROR(__xludf.DUMMYFUNCTION("""COMPUTED_VALUE"""),137202.0)</f>
        <v>137202</v>
      </c>
      <c r="B40" s="5" t="str">
        <f>IFERROR(__xludf.DUMMYFUNCTION("""COMPUTED_VALUE"""),"須田陸")</f>
        <v>須田陸</v>
      </c>
      <c r="C40" s="5" t="str">
        <f>IFERROR(__xludf.DUMMYFUNCTION("""COMPUTED_VALUE"""),"すだりく")</f>
        <v>すだりく</v>
      </c>
      <c r="D40" s="5">
        <f>IFERROR(__xludf.DUMMYFUNCTION("""COMPUTED_VALUE"""),3.0)</f>
        <v>3</v>
      </c>
      <c r="E40" s="5" t="str">
        <f>IFERROR(__xludf.DUMMYFUNCTION("""COMPUTED_VALUE"""),"男")</f>
        <v>男</v>
      </c>
      <c r="F40" s="5" t="str">
        <f>IFERROR(__xludf.DUMMYFUNCTION("""COMPUTED_VALUE"""),"×欠場")</f>
        <v>×欠場</v>
      </c>
      <c r="G40" s="5" t="str">
        <f>IFERROR(__xludf.DUMMYFUNCTION("""COMPUTED_VALUE"""),"×欠場")</f>
        <v>×欠場</v>
      </c>
      <c r="H40" s="5"/>
      <c r="I40" s="5" t="str">
        <f>IFERROR(__xludf.DUMMYFUNCTION("""COMPUTED_VALUE"""),"×参加しない")</f>
        <v>×参加しない</v>
      </c>
      <c r="J40" s="5"/>
      <c r="K40" s="12">
        <f t="shared" si="2"/>
        <v>0</v>
      </c>
    </row>
    <row r="41" ht="19.5" customHeight="1">
      <c r="A41" s="5">
        <f>IFERROR(__xludf.DUMMYFUNCTION("""COMPUTED_VALUE"""),137203.0)</f>
        <v>137203</v>
      </c>
      <c r="B41" s="5" t="str">
        <f>IFERROR(__xludf.DUMMYFUNCTION("""COMPUTED_VALUE"""),"川崎陽暉")</f>
        <v>川崎陽暉</v>
      </c>
      <c r="C41" s="5" t="str">
        <f>IFERROR(__xludf.DUMMYFUNCTION("""COMPUTED_VALUE"""),"かわさきはるき")</f>
        <v>かわさきはるき</v>
      </c>
      <c r="D41" s="5">
        <f>IFERROR(__xludf.DUMMYFUNCTION("""COMPUTED_VALUE"""),3.0)</f>
        <v>3</v>
      </c>
      <c r="E41" s="5" t="str">
        <f>IFERROR(__xludf.DUMMYFUNCTION("""COMPUTED_VALUE"""),"男")</f>
        <v>男</v>
      </c>
      <c r="F41" s="5" t="str">
        <f>IFERROR(__xludf.DUMMYFUNCTION("""COMPUTED_VALUE"""),"MUA")</f>
        <v>MUA</v>
      </c>
      <c r="G41" s="5" t="str">
        <f>IFERROR(__xludf.DUMMYFUNCTION("""COMPUTED_VALUE"""),"○出場")</f>
        <v>○出場</v>
      </c>
      <c r="H41" s="5">
        <f>IFERROR(__xludf.DUMMYFUNCTION("""COMPUTED_VALUE"""),518382.0)</f>
        <v>518382</v>
      </c>
      <c r="I41" s="5" t="str">
        <f>IFERROR(__xludf.DUMMYFUNCTION("""COMPUTED_VALUE"""),"×参加しない")</f>
        <v>×参加しない</v>
      </c>
      <c r="J41" s="5"/>
      <c r="K41" s="12">
        <f t="shared" si="2"/>
        <v>1</v>
      </c>
    </row>
    <row r="42" ht="19.5" customHeight="1">
      <c r="A42" s="5">
        <f>IFERROR(__xludf.DUMMYFUNCTION("""COMPUTED_VALUE"""),137204.0)</f>
        <v>137204</v>
      </c>
      <c r="B42" s="5" t="str">
        <f>IFERROR(__xludf.DUMMYFUNCTION("""COMPUTED_VALUE"""),"小野寺創冴")</f>
        <v>小野寺創冴</v>
      </c>
      <c r="C42" s="5" t="str">
        <f>IFERROR(__xludf.DUMMYFUNCTION("""COMPUTED_VALUE"""),"おのでらそうご")</f>
        <v>おのでらそうご</v>
      </c>
      <c r="D42" s="5">
        <f>IFERROR(__xludf.DUMMYFUNCTION("""COMPUTED_VALUE"""),3.0)</f>
        <v>3</v>
      </c>
      <c r="E42" s="5" t="str">
        <f>IFERROR(__xludf.DUMMYFUNCTION("""COMPUTED_VALUE"""),"男")</f>
        <v>男</v>
      </c>
      <c r="F42" s="5" t="str">
        <f>IFERROR(__xludf.DUMMYFUNCTION("""COMPUTED_VALUE"""),"×欠場")</f>
        <v>×欠場</v>
      </c>
      <c r="G42" s="5" t="str">
        <f>IFERROR(__xludf.DUMMYFUNCTION("""COMPUTED_VALUE"""),"×欠場")</f>
        <v>×欠場</v>
      </c>
      <c r="H42" s="5"/>
      <c r="I42" s="5" t="str">
        <f>IFERROR(__xludf.DUMMYFUNCTION("""COMPUTED_VALUE"""),"×参加しない")</f>
        <v>×参加しない</v>
      </c>
      <c r="J42" s="5"/>
      <c r="K42" s="12">
        <f t="shared" si="2"/>
        <v>0</v>
      </c>
    </row>
    <row r="43" ht="19.5" customHeight="1">
      <c r="A43" s="5">
        <f>IFERROR(__xludf.DUMMYFUNCTION("""COMPUTED_VALUE"""),137206.0)</f>
        <v>137206</v>
      </c>
      <c r="B43" s="5" t="str">
        <f>IFERROR(__xludf.DUMMYFUNCTION("""COMPUTED_VALUE"""),"田宮響")</f>
        <v>田宮響</v>
      </c>
      <c r="C43" s="5" t="str">
        <f>IFERROR(__xludf.DUMMYFUNCTION("""COMPUTED_VALUE"""),"たみやひびき")</f>
        <v>たみやひびき</v>
      </c>
      <c r="D43" s="5">
        <f>IFERROR(__xludf.DUMMYFUNCTION("""COMPUTED_VALUE"""),3.0)</f>
        <v>3</v>
      </c>
      <c r="E43" s="5" t="str">
        <f>IFERROR(__xludf.DUMMYFUNCTION("""COMPUTED_VALUE"""),"男")</f>
        <v>男</v>
      </c>
      <c r="F43" s="5" t="str">
        <f>IFERROR(__xludf.DUMMYFUNCTION("""COMPUTED_VALUE"""),"×欠場")</f>
        <v>×欠場</v>
      </c>
      <c r="G43" s="5" t="str">
        <f>IFERROR(__xludf.DUMMYFUNCTION("""COMPUTED_VALUE"""),"×欠場")</f>
        <v>×欠場</v>
      </c>
      <c r="H43" s="5"/>
      <c r="I43" s="5" t="str">
        <f>IFERROR(__xludf.DUMMYFUNCTION("""COMPUTED_VALUE"""),"×参加しない")</f>
        <v>×参加しない</v>
      </c>
      <c r="J43" s="5"/>
      <c r="K43" s="12">
        <f t="shared" si="2"/>
        <v>0</v>
      </c>
    </row>
    <row r="44" ht="19.5" customHeight="1">
      <c r="A44" s="5">
        <f>IFERROR(__xludf.DUMMYFUNCTION("""COMPUTED_VALUE"""),137207.0)</f>
        <v>137207</v>
      </c>
      <c r="B44" s="5" t="str">
        <f>IFERROR(__xludf.DUMMYFUNCTION("""COMPUTED_VALUE"""),"深田 遥斗")</f>
        <v>深田 遥斗</v>
      </c>
      <c r="C44" s="5" t="str">
        <f>IFERROR(__xludf.DUMMYFUNCTION("""COMPUTED_VALUE"""),"ふかだ はると")</f>
        <v>ふかだ はると</v>
      </c>
      <c r="D44" s="5">
        <f>IFERROR(__xludf.DUMMYFUNCTION("""COMPUTED_VALUE"""),3.0)</f>
        <v>3</v>
      </c>
      <c r="E44" s="5" t="str">
        <f>IFERROR(__xludf.DUMMYFUNCTION("""COMPUTED_VALUE"""),"男")</f>
        <v>男</v>
      </c>
      <c r="F44" s="5" t="str">
        <f>IFERROR(__xludf.DUMMYFUNCTION("""COMPUTED_VALUE"""),"×欠場")</f>
        <v>×欠場</v>
      </c>
      <c r="G44" s="5" t="str">
        <f>IFERROR(__xludf.DUMMYFUNCTION("""COMPUTED_VALUE"""),"×欠場")</f>
        <v>×欠場</v>
      </c>
      <c r="H44" s="5"/>
      <c r="I44" s="5" t="str">
        <f>IFERROR(__xludf.DUMMYFUNCTION("""COMPUTED_VALUE"""),"×参加しない")</f>
        <v>×参加しない</v>
      </c>
      <c r="J44" s="5"/>
      <c r="K44" s="12">
        <f t="shared" si="2"/>
        <v>0</v>
      </c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2">
        <f t="shared" si="2"/>
        <v>0</v>
      </c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2">
        <f t="shared" si="2"/>
        <v>0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1388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1</v>
      </c>
      <c r="E4" s="7">
        <f t="shared" ref="E4:E6" si="1">C4*D4</f>
        <v>8500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1</v>
      </c>
      <c r="E5" s="7">
        <f t="shared" si="1"/>
        <v>8000</v>
      </c>
    </row>
    <row r="6" ht="19.5" customHeight="1">
      <c r="A6" s="2" t="s">
        <v>9</v>
      </c>
      <c r="B6" s="4"/>
      <c r="C6" s="7">
        <v>32700.0</v>
      </c>
      <c r="D6" s="5">
        <f>D4+D5</f>
        <v>2</v>
      </c>
      <c r="E6" s="7">
        <f t="shared" si="1"/>
        <v>65400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1</v>
      </c>
      <c r="E7" s="7">
        <f>C7*D7/3</f>
        <v>1500</v>
      </c>
      <c r="F7" s="47" t="s">
        <v>2319</v>
      </c>
    </row>
    <row r="8" ht="19.5" customHeight="1">
      <c r="A8" s="2" t="s">
        <v>11</v>
      </c>
      <c r="B8" s="4"/>
      <c r="C8" s="7">
        <v>500.0</v>
      </c>
      <c r="D8" s="5">
        <f>D4-COUNT(H14:H201)</f>
        <v>1</v>
      </c>
      <c r="E8" s="7">
        <f>C8*D8</f>
        <v>500</v>
      </c>
    </row>
    <row r="9" ht="19.5" customHeight="1">
      <c r="A9" s="9"/>
      <c r="B9" s="9"/>
      <c r="C9" s="9"/>
      <c r="D9" s="10" t="s">
        <v>5</v>
      </c>
      <c r="E9" s="11">
        <f>SUM(E4:E8)</f>
        <v>83900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IFERROR(__xludf.DUMMYFUNCTION("FILTER('個人別エントリー'!C2:L1018,'個人別エントリー'!B2:B1018=A1)"),337701.0)</f>
        <v>337701</v>
      </c>
      <c r="B14" s="5" t="str">
        <f>IFERROR(__xludf.DUMMYFUNCTION("""COMPUTED_VALUE"""),"山根直樹")</f>
        <v>山根直樹</v>
      </c>
      <c r="C14" s="5" t="str">
        <f>IFERROR(__xludf.DUMMYFUNCTION("""COMPUTED_VALUE"""),"やまねなおき")</f>
        <v>やまねなおき</v>
      </c>
      <c r="D14" s="5">
        <f>IFERROR(__xludf.DUMMYFUNCTION("""COMPUTED_VALUE"""),3.0)</f>
        <v>3</v>
      </c>
      <c r="E14" s="5" t="str">
        <f>IFERROR(__xludf.DUMMYFUNCTION("""COMPUTED_VALUE"""),"男")</f>
        <v>男</v>
      </c>
      <c r="F14" s="5" t="str">
        <f>IFERROR(__xludf.DUMMYFUNCTION("""COMPUTED_VALUE"""),"MUA")</f>
        <v>MUA</v>
      </c>
      <c r="G14" s="5" t="str">
        <f>IFERROR(__xludf.DUMMYFUNCTION("""COMPUTED_VALUE"""),"○出場")</f>
        <v>○出場</v>
      </c>
      <c r="H14" s="5"/>
      <c r="I14" s="5" t="str">
        <f>IFERROR(__xludf.DUMMYFUNCTION("""COMPUTED_VALUE"""),"○参加する")</f>
        <v>○参加する</v>
      </c>
      <c r="J14" s="5"/>
      <c r="K14" s="12">
        <f t="shared" ref="K14:K201" si="2">IF(AND(OR(F14="×欠場",F14=""),OR(G14="×欠場",G14="")),0,1)</f>
        <v>1</v>
      </c>
      <c r="M14" s="5" t="str">
        <f>IFERROR(__xludf.DUMMYFUNCTION("FILTER('リレー内容'!$C$2:$K$51,'リレー内容'!$B$2:$B$51=A1)"),"○出場")</f>
        <v>○出場</v>
      </c>
      <c r="N14" s="5" t="str">
        <f>IFERROR(__xludf.DUMMYFUNCTION("""COMPUTED_VALUE"""),"×欠場")</f>
        <v>×欠場</v>
      </c>
      <c r="O14" s="5">
        <f>IFERROR(__xludf.DUMMYFUNCTION("""COMPUTED_VALUE"""),0.0)</f>
        <v>0</v>
      </c>
      <c r="P14" s="5">
        <f>IFERROR(__xludf.DUMMYFUNCTION("""COMPUTED_VALUE"""),0.0)</f>
        <v>0</v>
      </c>
      <c r="Q14" s="5">
        <f>IFERROR(__xludf.DUMMYFUNCTION("""COMPUTED_VALUE"""),0.0)</f>
        <v>0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12">
        <f t="shared" si="2"/>
        <v>0</v>
      </c>
    </row>
    <row r="16" ht="19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12">
        <f t="shared" si="2"/>
        <v>0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12">
        <f t="shared" si="2"/>
        <v>0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12">
        <f t="shared" si="2"/>
        <v>0</v>
      </c>
      <c r="M18" s="5" t="s">
        <v>25</v>
      </c>
      <c r="N18" s="2"/>
      <c r="O18" s="4"/>
      <c r="P18" s="2" t="s">
        <v>2333</v>
      </c>
      <c r="Q18" s="3"/>
      <c r="R18" s="3"/>
      <c r="S18" s="3"/>
      <c r="T18" s="3"/>
      <c r="U18" s="4"/>
    </row>
    <row r="19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12">
        <f t="shared" si="2"/>
        <v>0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12">
        <f t="shared" si="2"/>
        <v>0</v>
      </c>
    </row>
    <row r="21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12">
        <f t="shared" si="2"/>
        <v>0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2">
        <f t="shared" si="2"/>
        <v>0</v>
      </c>
      <c r="M23" s="2" t="str">
        <f>IFERROR(__xludf.DUMMYFUNCTION("FILTER('オフィシャル'!$B$2:$B$65,'オフィシャル'!$A$2:$A$65=A1)"),"平岩　伊武季")</f>
        <v>平岩　伊武季</v>
      </c>
      <c r="N23" s="4"/>
      <c r="O23" s="2" t="str">
        <f>IFERROR(__xludf.DUMMYFUNCTION("FILTER('オフィシャル'!$C$2:$C$65,'オフィシャル'!$A$2:$A$65=A1)"),"ひらいわ　いぶき")</f>
        <v>ひらいわ　いぶき</v>
      </c>
      <c r="P23" s="3"/>
      <c r="Q23" s="5" t="str">
        <f>IFERROR(__xludf.DUMMYFUNCTION("FILTER('オフィシャル'!$D$2:$D$65,'オフィシャル'!$A$2:$A$65=A1)"),"男")</f>
        <v>男</v>
      </c>
      <c r="R23" s="2" t="str">
        <f>IFERROR(__xludf.DUMMYFUNCTION("FILTER('オフィシャル'!$E$2:$E$65,'オフィシャル'!$A$2:$A$65=A1)"),"○する")</f>
        <v>○する</v>
      </c>
      <c r="S23" s="4"/>
      <c r="T23" s="14" t="str">
        <f>IFERROR(__xludf.DUMMYFUNCTION("FILTER('オフィシャル'!$F$2:$F$65,'オフィシャル'!$A$2:$A$65=A1)"),"")</f>
        <v/>
      </c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2">
        <f t="shared" si="2"/>
        <v>0</v>
      </c>
      <c r="M24" s="2"/>
      <c r="N24" s="4"/>
      <c r="O24" s="2"/>
      <c r="P24" s="3"/>
      <c r="Q24" s="5"/>
      <c r="R24" s="2"/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12">
        <f t="shared" si="2"/>
        <v>0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12">
        <f t="shared" si="2"/>
        <v>0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12">
        <f t="shared" si="2"/>
        <v>0</v>
      </c>
    </row>
    <row r="28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12">
        <f t="shared" si="2"/>
        <v>0</v>
      </c>
    </row>
    <row r="29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12">
        <f t="shared" si="2"/>
        <v>0</v>
      </c>
    </row>
    <row r="3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12">
        <f t="shared" si="2"/>
        <v>0</v>
      </c>
    </row>
    <row r="31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12">
        <f t="shared" si="2"/>
        <v>0</v>
      </c>
    </row>
    <row r="32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12">
        <f t="shared" si="2"/>
        <v>0</v>
      </c>
    </row>
    <row r="33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12">
        <f t="shared" si="2"/>
        <v>0</v>
      </c>
    </row>
    <row r="34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12">
        <f t="shared" si="2"/>
        <v>0</v>
      </c>
    </row>
    <row r="3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12">
        <f t="shared" si="2"/>
        <v>0</v>
      </c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12">
        <f t="shared" si="2"/>
        <v>0</v>
      </c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12">
        <f t="shared" si="2"/>
        <v>0</v>
      </c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12">
        <f t="shared" si="2"/>
        <v>0</v>
      </c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12">
        <f t="shared" si="2"/>
        <v>0</v>
      </c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12">
        <f t="shared" si="2"/>
        <v>0</v>
      </c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12">
        <f t="shared" si="2"/>
        <v>0</v>
      </c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12">
        <f t="shared" si="2"/>
        <v>0</v>
      </c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12">
        <f t="shared" si="2"/>
        <v>0</v>
      </c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12">
        <f t="shared" si="2"/>
        <v>0</v>
      </c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2">
        <f t="shared" si="2"/>
        <v>0</v>
      </c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2">
        <f t="shared" si="2"/>
        <v>0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1391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15</v>
      </c>
      <c r="E4" s="7">
        <f t="shared" ref="E4:E8" si="1">C4*D4</f>
        <v>127500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2</v>
      </c>
      <c r="E5" s="7">
        <f t="shared" si="1"/>
        <v>16000</v>
      </c>
    </row>
    <row r="6" ht="19.5" customHeight="1">
      <c r="A6" s="2" t="s">
        <v>9</v>
      </c>
      <c r="B6" s="4"/>
      <c r="C6" s="7">
        <v>32700.0</v>
      </c>
      <c r="D6" s="5">
        <f>D4+D5</f>
        <v>17</v>
      </c>
      <c r="E6" s="7">
        <f t="shared" si="1"/>
        <v>555900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2</v>
      </c>
      <c r="E7" s="7">
        <f t="shared" si="1"/>
        <v>9000</v>
      </c>
    </row>
    <row r="8" ht="19.5" customHeight="1">
      <c r="A8" s="2" t="s">
        <v>11</v>
      </c>
      <c r="B8" s="4"/>
      <c r="C8" s="7">
        <v>500.0</v>
      </c>
      <c r="D8" s="5">
        <f>D4-COUNT(H14:H201)</f>
        <v>0</v>
      </c>
      <c r="E8" s="7">
        <f t="shared" si="1"/>
        <v>0</v>
      </c>
    </row>
    <row r="9" ht="19.5" customHeight="1">
      <c r="A9" s="9"/>
      <c r="B9" s="9"/>
      <c r="C9" s="9"/>
      <c r="D9" s="10" t="s">
        <v>5</v>
      </c>
      <c r="E9" s="11">
        <f>SUM(E4:E8)</f>
        <v>708400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IFERROR(__xludf.DUMMYFUNCTION("FILTER('個人別エントリー'!C2:L1018,'個人別エントリー'!B2:B1018=A1)"),337801.0)</f>
        <v>337801</v>
      </c>
      <c r="B14" s="5" t="str">
        <f>IFERROR(__xludf.DUMMYFUNCTION("""COMPUTED_VALUE"""),"澁谷萌")</f>
        <v>澁谷萌</v>
      </c>
      <c r="C14" s="5" t="str">
        <f>IFERROR(__xludf.DUMMYFUNCTION("""COMPUTED_VALUE"""),"しぶやもえ")</f>
        <v>しぶやもえ</v>
      </c>
      <c r="D14" s="5">
        <f>IFERROR(__xludf.DUMMYFUNCTION("""COMPUTED_VALUE"""),1.0)</f>
        <v>1</v>
      </c>
      <c r="E14" s="5" t="str">
        <f>IFERROR(__xludf.DUMMYFUNCTION("""COMPUTED_VALUE"""),"女")</f>
        <v>女</v>
      </c>
      <c r="F14" s="5" t="str">
        <f>IFERROR(__xludf.DUMMYFUNCTION("""COMPUTED_VALUE"""),"WUF")</f>
        <v>WUF</v>
      </c>
      <c r="G14" s="5" t="str">
        <f>IFERROR(__xludf.DUMMYFUNCTION("""COMPUTED_VALUE"""),"○出場")</f>
        <v>○出場</v>
      </c>
      <c r="H14" s="5">
        <f>IFERROR(__xludf.DUMMYFUNCTION("""COMPUTED_VALUE"""),530644.0)</f>
        <v>530644</v>
      </c>
      <c r="I14" s="5" t="str">
        <f>IFERROR(__xludf.DUMMYFUNCTION("""COMPUTED_VALUE"""),"○参加する")</f>
        <v>○参加する</v>
      </c>
      <c r="J14" s="5"/>
      <c r="K14" s="12">
        <f t="shared" ref="K14:K201" si="2">IF(AND(OR(F14="×欠場",F14=""),OR(G14="×欠場",G14="")),0,1)</f>
        <v>1</v>
      </c>
      <c r="M14" s="5" t="str">
        <f>IFERROR(__xludf.DUMMYFUNCTION("FILTER('リレー内容'!$C$2:$K$51,'リレー内容'!$B$2:$B$51=A1)"),"○出場")</f>
        <v>○出場</v>
      </c>
      <c r="N14" s="5" t="str">
        <f>IFERROR(__xludf.DUMMYFUNCTION("""COMPUTED_VALUE"""),"○出場")</f>
        <v>○出場</v>
      </c>
      <c r="O14" s="5">
        <f>IFERROR(__xludf.DUMMYFUNCTION("""COMPUTED_VALUE"""),1.0)</f>
        <v>1</v>
      </c>
      <c r="P14" s="5">
        <f>IFERROR(__xludf.DUMMYFUNCTION("""COMPUTED_VALUE"""),1.0)</f>
        <v>1</v>
      </c>
      <c r="Q14" s="5">
        <f>IFERROR(__xludf.DUMMYFUNCTION("""COMPUTED_VALUE"""),1.0)</f>
        <v>1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IFERROR(__xludf.DUMMYFUNCTION("""COMPUTED_VALUE"""),337802.0)</f>
        <v>337802</v>
      </c>
      <c r="B15" s="5" t="str">
        <f>IFERROR(__xludf.DUMMYFUNCTION("""COMPUTED_VALUE"""),"鈴木航大")</f>
        <v>鈴木航大</v>
      </c>
      <c r="C15" s="5" t="str">
        <f>IFERROR(__xludf.DUMMYFUNCTION("""COMPUTED_VALUE"""),"すずきこうた")</f>
        <v>すずきこうた</v>
      </c>
      <c r="D15" s="5">
        <f>IFERROR(__xludf.DUMMYFUNCTION("""COMPUTED_VALUE"""),1.0)</f>
        <v>1</v>
      </c>
      <c r="E15" s="5" t="str">
        <f>IFERROR(__xludf.DUMMYFUNCTION("""COMPUTED_VALUE"""),"男")</f>
        <v>男</v>
      </c>
      <c r="F15" s="5" t="str">
        <f>IFERROR(__xludf.DUMMYFUNCTION("""COMPUTED_VALUE"""),"MUF")</f>
        <v>MUF</v>
      </c>
      <c r="G15" s="5" t="str">
        <f>IFERROR(__xludf.DUMMYFUNCTION("""COMPUTED_VALUE"""),"○出場")</f>
        <v>○出場</v>
      </c>
      <c r="H15" s="5">
        <f>IFERROR(__xludf.DUMMYFUNCTION("""COMPUTED_VALUE"""),530638.0)</f>
        <v>530638</v>
      </c>
      <c r="I15" s="5" t="str">
        <f>IFERROR(__xludf.DUMMYFUNCTION("""COMPUTED_VALUE"""),"○参加する")</f>
        <v>○参加する</v>
      </c>
      <c r="J15" s="5"/>
      <c r="K15" s="12">
        <f t="shared" si="2"/>
        <v>1</v>
      </c>
    </row>
    <row r="16" ht="19.5" customHeight="1">
      <c r="A16" s="5">
        <f>IFERROR(__xludf.DUMMYFUNCTION("""COMPUTED_VALUE"""),337803.0)</f>
        <v>337803</v>
      </c>
      <c r="B16" s="5" t="str">
        <f>IFERROR(__xludf.DUMMYFUNCTION("""COMPUTED_VALUE"""),"高橋悠")</f>
        <v>高橋悠</v>
      </c>
      <c r="C16" s="5" t="str">
        <f>IFERROR(__xludf.DUMMYFUNCTION("""COMPUTED_VALUE"""),"たかはしゆう")</f>
        <v>たかはしゆう</v>
      </c>
      <c r="D16" s="5">
        <f>IFERROR(__xludf.DUMMYFUNCTION("""COMPUTED_VALUE"""),1.0)</f>
        <v>1</v>
      </c>
      <c r="E16" s="5" t="str">
        <f>IFERROR(__xludf.DUMMYFUNCTION("""COMPUTED_VALUE"""),"男")</f>
        <v>男</v>
      </c>
      <c r="F16" s="5" t="str">
        <f>IFERROR(__xludf.DUMMYFUNCTION("""COMPUTED_VALUE"""),"MUF")</f>
        <v>MUF</v>
      </c>
      <c r="G16" s="5" t="str">
        <f>IFERROR(__xludf.DUMMYFUNCTION("""COMPUTED_VALUE"""),"○出場")</f>
        <v>○出場</v>
      </c>
      <c r="H16" s="5">
        <f>IFERROR(__xludf.DUMMYFUNCTION("""COMPUTED_VALUE"""),531139.0)</f>
        <v>531139</v>
      </c>
      <c r="I16" s="5" t="str">
        <f>IFERROR(__xludf.DUMMYFUNCTION("""COMPUTED_VALUE"""),"○参加する")</f>
        <v>○参加する</v>
      </c>
      <c r="J16" s="5"/>
      <c r="K16" s="12">
        <f t="shared" si="2"/>
        <v>1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>
        <f>IFERROR(__xludf.DUMMYFUNCTION("""COMPUTED_VALUE"""),337804.0)</f>
        <v>337804</v>
      </c>
      <c r="B17" s="5" t="str">
        <f>IFERROR(__xludf.DUMMYFUNCTION("""COMPUTED_VALUE"""),"須磨香介")</f>
        <v>須磨香介</v>
      </c>
      <c r="C17" s="5" t="str">
        <f>IFERROR(__xludf.DUMMYFUNCTION("""COMPUTED_VALUE"""),"すまきょうすけ")</f>
        <v>すまきょうすけ</v>
      </c>
      <c r="D17" s="5">
        <f>IFERROR(__xludf.DUMMYFUNCTION("""COMPUTED_VALUE"""),1.0)</f>
        <v>1</v>
      </c>
      <c r="E17" s="5" t="str">
        <f>IFERROR(__xludf.DUMMYFUNCTION("""COMPUTED_VALUE"""),"男")</f>
        <v>男</v>
      </c>
      <c r="F17" s="5" t="str">
        <f>IFERROR(__xludf.DUMMYFUNCTION("""COMPUTED_VALUE"""),"×欠場")</f>
        <v>×欠場</v>
      </c>
      <c r="G17" s="5" t="str">
        <f>IFERROR(__xludf.DUMMYFUNCTION("""COMPUTED_VALUE"""),"×欠場")</f>
        <v>×欠場</v>
      </c>
      <c r="H17" s="5"/>
      <c r="I17" s="5" t="str">
        <f>IFERROR(__xludf.DUMMYFUNCTION("""COMPUTED_VALUE"""),"×参加しない")</f>
        <v>×参加しない</v>
      </c>
      <c r="J17" s="5"/>
      <c r="K17" s="12">
        <f t="shared" si="2"/>
        <v>0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>
        <f>IFERROR(__xludf.DUMMYFUNCTION("""COMPUTED_VALUE"""),337805.0)</f>
        <v>337805</v>
      </c>
      <c r="B18" s="5" t="str">
        <f>IFERROR(__xludf.DUMMYFUNCTION("""COMPUTED_VALUE"""),"菊池彩実")</f>
        <v>菊池彩実</v>
      </c>
      <c r="C18" s="5" t="str">
        <f>IFERROR(__xludf.DUMMYFUNCTION("""COMPUTED_VALUE"""),"きくちあみ")</f>
        <v>きくちあみ</v>
      </c>
      <c r="D18" s="5">
        <f>IFERROR(__xludf.DUMMYFUNCTION("""COMPUTED_VALUE"""),1.0)</f>
        <v>1</v>
      </c>
      <c r="E18" s="5" t="str">
        <f>IFERROR(__xludf.DUMMYFUNCTION("""COMPUTED_VALUE"""),"女")</f>
        <v>女</v>
      </c>
      <c r="F18" s="5" t="str">
        <f>IFERROR(__xludf.DUMMYFUNCTION("""COMPUTED_VALUE"""),"WUF")</f>
        <v>WUF</v>
      </c>
      <c r="G18" s="5" t="str">
        <f>IFERROR(__xludf.DUMMYFUNCTION("""COMPUTED_VALUE"""),"○出場")</f>
        <v>○出場</v>
      </c>
      <c r="H18" s="5">
        <f>IFERROR(__xludf.DUMMYFUNCTION("""COMPUTED_VALUE"""),531148.0)</f>
        <v>531148</v>
      </c>
      <c r="I18" s="5" t="str">
        <f>IFERROR(__xludf.DUMMYFUNCTION("""COMPUTED_VALUE"""),"○参加する")</f>
        <v>○参加する</v>
      </c>
      <c r="J18" s="5"/>
      <c r="K18" s="12">
        <f t="shared" si="2"/>
        <v>1</v>
      </c>
      <c r="M18" s="5"/>
      <c r="N18" s="2"/>
      <c r="O18" s="4"/>
      <c r="P18" s="2"/>
      <c r="Q18" s="3"/>
      <c r="R18" s="3"/>
      <c r="S18" s="3"/>
      <c r="T18" s="3"/>
      <c r="U18" s="4"/>
    </row>
    <row r="19" ht="19.5" customHeight="1">
      <c r="A19" s="5">
        <f>IFERROR(__xludf.DUMMYFUNCTION("""COMPUTED_VALUE"""),337806.0)</f>
        <v>337806</v>
      </c>
      <c r="B19" s="5" t="str">
        <f>IFERROR(__xludf.DUMMYFUNCTION("""COMPUTED_VALUE"""),"伊与久桃花")</f>
        <v>伊与久桃花</v>
      </c>
      <c r="C19" s="5" t="str">
        <f>IFERROR(__xludf.DUMMYFUNCTION("""COMPUTED_VALUE"""),"いよくももか")</f>
        <v>いよくももか</v>
      </c>
      <c r="D19" s="5">
        <f>IFERROR(__xludf.DUMMYFUNCTION("""COMPUTED_VALUE"""),1.0)</f>
        <v>1</v>
      </c>
      <c r="E19" s="5" t="str">
        <f>IFERROR(__xludf.DUMMYFUNCTION("""COMPUTED_VALUE"""),"女")</f>
        <v>女</v>
      </c>
      <c r="F19" s="5" t="str">
        <f>IFERROR(__xludf.DUMMYFUNCTION("""COMPUTED_VALUE"""),"×欠場")</f>
        <v>×欠場</v>
      </c>
      <c r="G19" s="5" t="str">
        <f>IFERROR(__xludf.DUMMYFUNCTION("""COMPUTED_VALUE"""),"×欠場")</f>
        <v>×欠場</v>
      </c>
      <c r="H19" s="5"/>
      <c r="I19" s="5" t="str">
        <f>IFERROR(__xludf.DUMMYFUNCTION("""COMPUTED_VALUE"""),"×参加しない")</f>
        <v>×参加しない</v>
      </c>
      <c r="J19" s="5"/>
      <c r="K19" s="12">
        <f t="shared" si="2"/>
        <v>0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>
        <f>IFERROR(__xludf.DUMMYFUNCTION("""COMPUTED_VALUE"""),337807.0)</f>
        <v>337807</v>
      </c>
      <c r="B20" s="5" t="str">
        <f>IFERROR(__xludf.DUMMYFUNCTION("""COMPUTED_VALUE"""),"平井良輝")</f>
        <v>平井良輝</v>
      </c>
      <c r="C20" s="5" t="str">
        <f>IFERROR(__xludf.DUMMYFUNCTION("""COMPUTED_VALUE"""),"ひらいよしき")</f>
        <v>ひらいよしき</v>
      </c>
      <c r="D20" s="5">
        <f>IFERROR(__xludf.DUMMYFUNCTION("""COMPUTED_VALUE"""),1.0)</f>
        <v>1</v>
      </c>
      <c r="E20" s="5" t="str">
        <f>IFERROR(__xludf.DUMMYFUNCTION("""COMPUTED_VALUE"""),"男")</f>
        <v>男</v>
      </c>
      <c r="F20" s="5" t="str">
        <f>IFERROR(__xludf.DUMMYFUNCTION("""COMPUTED_VALUE"""),"×欠場")</f>
        <v>×欠場</v>
      </c>
      <c r="G20" s="5" t="str">
        <f>IFERROR(__xludf.DUMMYFUNCTION("""COMPUTED_VALUE"""),"×欠場")</f>
        <v>×欠場</v>
      </c>
      <c r="H20" s="5"/>
      <c r="I20" s="5" t="str">
        <f>IFERROR(__xludf.DUMMYFUNCTION("""COMPUTED_VALUE"""),"×参加しない")</f>
        <v>×参加しない</v>
      </c>
      <c r="J20" s="5"/>
      <c r="K20" s="12">
        <f t="shared" si="2"/>
        <v>0</v>
      </c>
    </row>
    <row r="21" ht="19.5" customHeight="1">
      <c r="A21" s="5">
        <f>IFERROR(__xludf.DUMMYFUNCTION("""COMPUTED_VALUE"""),337808.0)</f>
        <v>337808</v>
      </c>
      <c r="B21" s="5" t="str">
        <f>IFERROR(__xludf.DUMMYFUNCTION("""COMPUTED_VALUE"""),"本田創也")</f>
        <v>本田創也</v>
      </c>
      <c r="C21" s="5" t="str">
        <f>IFERROR(__xludf.DUMMYFUNCTION("""COMPUTED_VALUE"""),"ほんだそうや")</f>
        <v>ほんだそうや</v>
      </c>
      <c r="D21" s="5">
        <f>IFERROR(__xludf.DUMMYFUNCTION("""COMPUTED_VALUE"""),1.0)</f>
        <v>1</v>
      </c>
      <c r="E21" s="5" t="str">
        <f>IFERROR(__xludf.DUMMYFUNCTION("""COMPUTED_VALUE"""),"男")</f>
        <v>男</v>
      </c>
      <c r="F21" s="5" t="str">
        <f>IFERROR(__xludf.DUMMYFUNCTION("""COMPUTED_VALUE"""),"MUF")</f>
        <v>MUF</v>
      </c>
      <c r="G21" s="5" t="str">
        <f>IFERROR(__xludf.DUMMYFUNCTION("""COMPUTED_VALUE"""),"○出場")</f>
        <v>○出場</v>
      </c>
      <c r="H21" s="5">
        <f>IFERROR(__xludf.DUMMYFUNCTION("""COMPUTED_VALUE"""),531150.0)</f>
        <v>531150</v>
      </c>
      <c r="I21" s="5" t="str">
        <f>IFERROR(__xludf.DUMMYFUNCTION("""COMPUTED_VALUE"""),"○参加する")</f>
        <v>○参加する</v>
      </c>
      <c r="J21" s="5"/>
      <c r="K21" s="12">
        <f t="shared" si="2"/>
        <v>1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>
        <f>IFERROR(__xludf.DUMMYFUNCTION("""COMPUTED_VALUE"""),337809.0)</f>
        <v>337809</v>
      </c>
      <c r="B22" s="5" t="str">
        <f>IFERROR(__xludf.DUMMYFUNCTION("""COMPUTED_VALUE"""),"古荘雪羽")</f>
        <v>古荘雪羽</v>
      </c>
      <c r="C22" s="5" t="str">
        <f>IFERROR(__xludf.DUMMYFUNCTION("""COMPUTED_VALUE"""),"ふるしょうゆきは")</f>
        <v>ふるしょうゆきは</v>
      </c>
      <c r="D22" s="5">
        <f>IFERROR(__xludf.DUMMYFUNCTION("""COMPUTED_VALUE"""),1.0)</f>
        <v>1</v>
      </c>
      <c r="E22" s="5" t="str">
        <f>IFERROR(__xludf.DUMMYFUNCTION("""COMPUTED_VALUE"""),"女")</f>
        <v>女</v>
      </c>
      <c r="F22" s="5" t="str">
        <f>IFERROR(__xludf.DUMMYFUNCTION("""COMPUTED_VALUE"""),"WUF")</f>
        <v>WUF</v>
      </c>
      <c r="G22" s="5" t="str">
        <f>IFERROR(__xludf.DUMMYFUNCTION("""COMPUTED_VALUE"""),"○出場")</f>
        <v>○出場</v>
      </c>
      <c r="H22" s="5">
        <f>IFERROR(__xludf.DUMMYFUNCTION("""COMPUTED_VALUE"""),531149.0)</f>
        <v>531149</v>
      </c>
      <c r="I22" s="5" t="str">
        <f>IFERROR(__xludf.DUMMYFUNCTION("""COMPUTED_VALUE"""),"○参加する")</f>
        <v>○参加する</v>
      </c>
      <c r="J22" s="5"/>
      <c r="K22" s="12">
        <f t="shared" si="2"/>
        <v>1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>
        <f>IFERROR(__xludf.DUMMYFUNCTION("""COMPUTED_VALUE"""),337810.0)</f>
        <v>337810</v>
      </c>
      <c r="B23" s="5" t="str">
        <f>IFERROR(__xludf.DUMMYFUNCTION("""COMPUTED_VALUE"""),"菅田雄大")</f>
        <v>菅田雄大</v>
      </c>
      <c r="C23" s="5" t="str">
        <f>IFERROR(__xludf.DUMMYFUNCTION("""COMPUTED_VALUE"""),"すがたゆうだい")</f>
        <v>すがたゆうだい</v>
      </c>
      <c r="D23" s="5">
        <f>IFERROR(__xludf.DUMMYFUNCTION("""COMPUTED_VALUE"""),1.0)</f>
        <v>1</v>
      </c>
      <c r="E23" s="5" t="str">
        <f>IFERROR(__xludf.DUMMYFUNCTION("""COMPUTED_VALUE"""),"男")</f>
        <v>男</v>
      </c>
      <c r="F23" s="5" t="str">
        <f>IFERROR(__xludf.DUMMYFUNCTION("""COMPUTED_VALUE"""),"MUF")</f>
        <v>MUF</v>
      </c>
      <c r="G23" s="5" t="str">
        <f>IFERROR(__xludf.DUMMYFUNCTION("""COMPUTED_VALUE"""),"○出場")</f>
        <v>○出場</v>
      </c>
      <c r="H23" s="5">
        <f>IFERROR(__xludf.DUMMYFUNCTION("""COMPUTED_VALUE"""),530645.0)</f>
        <v>530645</v>
      </c>
      <c r="I23" s="5" t="str">
        <f>IFERROR(__xludf.DUMMYFUNCTION("""COMPUTED_VALUE"""),"○参加する")</f>
        <v>○参加する</v>
      </c>
      <c r="J23" s="5"/>
      <c r="K23" s="12">
        <f t="shared" si="2"/>
        <v>1</v>
      </c>
      <c r="M23" s="2" t="str">
        <f>IFERROR(__xludf.DUMMYFUNCTION("FILTER('オフィシャル'!$B$2:$B$65,'オフィシャル'!$A$2:$A$65=A1)"),"阿部遼太郎")</f>
        <v>阿部遼太郎</v>
      </c>
      <c r="N23" s="4"/>
      <c r="O23" s="2" t="str">
        <f>IFERROR(__xludf.DUMMYFUNCTION("FILTER('オフィシャル'!$C$2:$C$65,'オフィシャル'!$A$2:$A$65=A1)"),"あべりょうたろう")</f>
        <v>あべりょうたろう</v>
      </c>
      <c r="P23" s="3"/>
      <c r="Q23" s="5" t="str">
        <f>IFERROR(__xludf.DUMMYFUNCTION("FILTER('オフィシャル'!$D$2:$D$65,'オフィシャル'!$A$2:$A$65=A1)"),"男")</f>
        <v>男</v>
      </c>
      <c r="R23" s="2" t="str">
        <f>IFERROR(__xludf.DUMMYFUNCTION("FILTER('オフィシャル'!$E$2:$E$65,'オフィシャル'!$A$2:$A$65=A1)"),"×しない")</f>
        <v>×しない</v>
      </c>
      <c r="S23" s="4"/>
      <c r="T23" s="14" t="str">
        <f>IFERROR(__xludf.DUMMYFUNCTION("FILTER('オフィシャル'!$F$2:$F$65,'オフィシャル'!$A$2:$A$65=A1)"),"")</f>
        <v/>
      </c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>
        <f>IFERROR(__xludf.DUMMYFUNCTION("""COMPUTED_VALUE"""),337811.0)</f>
        <v>337811</v>
      </c>
      <c r="B24" s="5" t="str">
        <f>IFERROR(__xludf.DUMMYFUNCTION("""COMPUTED_VALUE"""),"山下平良")</f>
        <v>山下平良</v>
      </c>
      <c r="C24" s="5" t="str">
        <f>IFERROR(__xludf.DUMMYFUNCTION("""COMPUTED_VALUE"""),"やましたたいら")</f>
        <v>やましたたいら</v>
      </c>
      <c r="D24" s="5">
        <f>IFERROR(__xludf.DUMMYFUNCTION("""COMPUTED_VALUE"""),1.0)</f>
        <v>1</v>
      </c>
      <c r="E24" s="5" t="str">
        <f>IFERROR(__xludf.DUMMYFUNCTION("""COMPUTED_VALUE"""),"男")</f>
        <v>男</v>
      </c>
      <c r="F24" s="5" t="str">
        <f>IFERROR(__xludf.DUMMYFUNCTION("""COMPUTED_VALUE"""),"×欠場")</f>
        <v>×欠場</v>
      </c>
      <c r="G24" s="5" t="str">
        <f>IFERROR(__xludf.DUMMYFUNCTION("""COMPUTED_VALUE"""),"×欠場")</f>
        <v>×欠場</v>
      </c>
      <c r="H24" s="5"/>
      <c r="I24" s="5" t="str">
        <f>IFERROR(__xludf.DUMMYFUNCTION("""COMPUTED_VALUE"""),"×参加しない")</f>
        <v>×参加しない</v>
      </c>
      <c r="J24" s="5"/>
      <c r="K24" s="12">
        <f t="shared" si="2"/>
        <v>0</v>
      </c>
      <c r="M24" s="2" t="str">
        <f>IFERROR(__xludf.DUMMYFUNCTION("""COMPUTED_VALUE"""),"栗山ももこ")</f>
        <v>栗山ももこ</v>
      </c>
      <c r="N24" s="4"/>
      <c r="O24" s="2" t="str">
        <f>IFERROR(__xludf.DUMMYFUNCTION("""COMPUTED_VALUE"""),"くりやまももこ")</f>
        <v>くりやまももこ</v>
      </c>
      <c r="P24" s="3"/>
      <c r="Q24" s="5" t="str">
        <f>IFERROR(__xludf.DUMMYFUNCTION("""COMPUTED_VALUE"""),"女")</f>
        <v>女</v>
      </c>
      <c r="R24" s="2" t="str">
        <f>IFERROR(__xludf.DUMMYFUNCTION("""COMPUTED_VALUE"""),"×しない")</f>
        <v>×しない</v>
      </c>
      <c r="S24" s="4"/>
      <c r="T24" s="49">
        <f>IFERROR(__xludf.DUMMYFUNCTION("""COMPUTED_VALUE"""),45366.0)</f>
        <v>45366</v>
      </c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>
        <f>IFERROR(__xludf.DUMMYFUNCTION("""COMPUTED_VALUE"""),337812.0)</f>
        <v>337812</v>
      </c>
      <c r="B25" s="5" t="str">
        <f>IFERROR(__xludf.DUMMYFUNCTION("""COMPUTED_VALUE"""),"西野陽平")</f>
        <v>西野陽平</v>
      </c>
      <c r="C25" s="5" t="str">
        <f>IFERROR(__xludf.DUMMYFUNCTION("""COMPUTED_VALUE"""),"にしのようへい")</f>
        <v>にしのようへい</v>
      </c>
      <c r="D25" s="5">
        <f>IFERROR(__xludf.DUMMYFUNCTION("""COMPUTED_VALUE"""),1.0)</f>
        <v>1</v>
      </c>
      <c r="E25" s="5" t="str">
        <f>IFERROR(__xludf.DUMMYFUNCTION("""COMPUTED_VALUE"""),"男")</f>
        <v>男</v>
      </c>
      <c r="F25" s="5" t="str">
        <f>IFERROR(__xludf.DUMMYFUNCTION("""COMPUTED_VALUE"""),"×欠場")</f>
        <v>×欠場</v>
      </c>
      <c r="G25" s="5" t="str">
        <f>IFERROR(__xludf.DUMMYFUNCTION("""COMPUTED_VALUE"""),"×欠場")</f>
        <v>×欠場</v>
      </c>
      <c r="H25" s="5"/>
      <c r="I25" s="5" t="str">
        <f>IFERROR(__xludf.DUMMYFUNCTION("""COMPUTED_VALUE"""),"×参加しない")</f>
        <v>×参加しない</v>
      </c>
      <c r="J25" s="5"/>
      <c r="K25" s="12">
        <f t="shared" si="2"/>
        <v>0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>
        <f>IFERROR(__xludf.DUMMYFUNCTION("""COMPUTED_VALUE"""),237801.0)</f>
        <v>237801</v>
      </c>
      <c r="B26" s="5" t="str">
        <f>IFERROR(__xludf.DUMMYFUNCTION("""COMPUTED_VALUE"""),"小泉陽菜乃")</f>
        <v>小泉陽菜乃</v>
      </c>
      <c r="C26" s="5" t="str">
        <f>IFERROR(__xludf.DUMMYFUNCTION("""COMPUTED_VALUE"""),"こいずみひなの")</f>
        <v>こいずみひなの</v>
      </c>
      <c r="D26" s="5">
        <f>IFERROR(__xludf.DUMMYFUNCTION("""COMPUTED_VALUE"""),2.0)</f>
        <v>2</v>
      </c>
      <c r="E26" s="5" t="str">
        <f>IFERROR(__xludf.DUMMYFUNCTION("""COMPUTED_VALUE"""),"女")</f>
        <v>女</v>
      </c>
      <c r="F26" s="5" t="str">
        <f>IFERROR(__xludf.DUMMYFUNCTION("""COMPUTED_VALUE"""),"WUB")</f>
        <v>WUB</v>
      </c>
      <c r="G26" s="5" t="str">
        <f>IFERROR(__xludf.DUMMYFUNCTION("""COMPUTED_VALUE"""),"○出場")</f>
        <v>○出場</v>
      </c>
      <c r="H26" s="5">
        <f>IFERROR(__xludf.DUMMYFUNCTION("""COMPUTED_VALUE"""),528631.0)</f>
        <v>528631</v>
      </c>
      <c r="I26" s="5" t="str">
        <f>IFERROR(__xludf.DUMMYFUNCTION("""COMPUTED_VALUE"""),"×参加しない")</f>
        <v>×参加しない</v>
      </c>
      <c r="J26" s="5"/>
      <c r="K26" s="12">
        <f t="shared" si="2"/>
        <v>1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>
        <f>IFERROR(__xludf.DUMMYFUNCTION("""COMPUTED_VALUE"""),237802.0)</f>
        <v>237802</v>
      </c>
      <c r="B27" s="5" t="str">
        <f>IFERROR(__xludf.DUMMYFUNCTION("""COMPUTED_VALUE"""),"石橋麗亜")</f>
        <v>石橋麗亜</v>
      </c>
      <c r="C27" s="5" t="str">
        <f>IFERROR(__xludf.DUMMYFUNCTION("""COMPUTED_VALUE"""),"いしばしれいあ")</f>
        <v>いしばしれいあ</v>
      </c>
      <c r="D27" s="5">
        <f>IFERROR(__xludf.DUMMYFUNCTION("""COMPUTED_VALUE"""),2.0)</f>
        <v>2</v>
      </c>
      <c r="E27" s="5" t="str">
        <f>IFERROR(__xludf.DUMMYFUNCTION("""COMPUTED_VALUE"""),"女")</f>
        <v>女</v>
      </c>
      <c r="F27" s="5" t="str">
        <f>IFERROR(__xludf.DUMMYFUNCTION("""COMPUTED_VALUE"""),"WUA")</f>
        <v>WUA</v>
      </c>
      <c r="G27" s="5" t="str">
        <f>IFERROR(__xludf.DUMMYFUNCTION("""COMPUTED_VALUE"""),"○出場")</f>
        <v>○出場</v>
      </c>
      <c r="H27" s="5">
        <f>IFERROR(__xludf.DUMMYFUNCTION("""COMPUTED_VALUE"""),524949.0)</f>
        <v>524949</v>
      </c>
      <c r="I27" s="5" t="str">
        <f>IFERROR(__xludf.DUMMYFUNCTION("""COMPUTED_VALUE"""),"○参加する")</f>
        <v>○参加する</v>
      </c>
      <c r="J27" s="5"/>
      <c r="K27" s="12">
        <f t="shared" si="2"/>
        <v>1</v>
      </c>
    </row>
    <row r="28" ht="19.5" customHeight="1">
      <c r="A28" s="5">
        <f>IFERROR(__xludf.DUMMYFUNCTION("""COMPUTED_VALUE"""),237804.0)</f>
        <v>237804</v>
      </c>
      <c r="B28" s="5" t="str">
        <f>IFERROR(__xludf.DUMMYFUNCTION("""COMPUTED_VALUE"""),"池田寛大")</f>
        <v>池田寛大</v>
      </c>
      <c r="C28" s="5" t="str">
        <f>IFERROR(__xludf.DUMMYFUNCTION("""COMPUTED_VALUE"""),"いけだかんた")</f>
        <v>いけだかんた</v>
      </c>
      <c r="D28" s="5">
        <f>IFERROR(__xludf.DUMMYFUNCTION("""COMPUTED_VALUE"""),2.0)</f>
        <v>2</v>
      </c>
      <c r="E28" s="5" t="str">
        <f>IFERROR(__xludf.DUMMYFUNCTION("""COMPUTED_VALUE"""),"男")</f>
        <v>男</v>
      </c>
      <c r="F28" s="5" t="str">
        <f>IFERROR(__xludf.DUMMYFUNCTION("""COMPUTED_VALUE"""),"MUA")</f>
        <v>MUA</v>
      </c>
      <c r="G28" s="5" t="str">
        <f>IFERROR(__xludf.DUMMYFUNCTION("""COMPUTED_VALUE"""),"○出場")</f>
        <v>○出場</v>
      </c>
      <c r="H28" s="5">
        <f>IFERROR(__xludf.DUMMYFUNCTION("""COMPUTED_VALUE"""),528177.0)</f>
        <v>528177</v>
      </c>
      <c r="I28" s="5" t="str">
        <f>IFERROR(__xludf.DUMMYFUNCTION("""COMPUTED_VALUE"""),"○参加する")</f>
        <v>○参加する</v>
      </c>
      <c r="J28" s="5"/>
      <c r="K28" s="12">
        <f t="shared" si="2"/>
        <v>1</v>
      </c>
    </row>
    <row r="29" ht="19.5" customHeight="1">
      <c r="A29" s="5">
        <f>IFERROR(__xludf.DUMMYFUNCTION("""COMPUTED_VALUE"""),137801.0)</f>
        <v>137801</v>
      </c>
      <c r="B29" s="5" t="str">
        <f>IFERROR(__xludf.DUMMYFUNCTION("""COMPUTED_VALUE"""),"美濃部駿")</f>
        <v>美濃部駿</v>
      </c>
      <c r="C29" s="5" t="str">
        <f>IFERROR(__xludf.DUMMYFUNCTION("""COMPUTED_VALUE"""),"みのべしゅん")</f>
        <v>みのべしゅん</v>
      </c>
      <c r="D29" s="5">
        <f>IFERROR(__xludf.DUMMYFUNCTION("""COMPUTED_VALUE"""),3.0)</f>
        <v>3</v>
      </c>
      <c r="E29" s="5" t="str">
        <f>IFERROR(__xludf.DUMMYFUNCTION("""COMPUTED_VALUE"""),"男")</f>
        <v>男</v>
      </c>
      <c r="F29" s="5" t="str">
        <f>IFERROR(__xludf.DUMMYFUNCTION("""COMPUTED_VALUE"""),"MUA")</f>
        <v>MUA</v>
      </c>
      <c r="G29" s="5" t="str">
        <f>IFERROR(__xludf.DUMMYFUNCTION("""COMPUTED_VALUE"""),"○出場")</f>
        <v>○出場</v>
      </c>
      <c r="H29" s="5">
        <f>IFERROR(__xludf.DUMMYFUNCTION("""COMPUTED_VALUE"""),528178.0)</f>
        <v>528178</v>
      </c>
      <c r="I29" s="5" t="str">
        <f>IFERROR(__xludf.DUMMYFUNCTION("""COMPUTED_VALUE"""),"○参加する")</f>
        <v>○参加する</v>
      </c>
      <c r="J29" s="5"/>
      <c r="K29" s="12">
        <f t="shared" si="2"/>
        <v>1</v>
      </c>
    </row>
    <row r="30" ht="19.5" customHeight="1">
      <c r="A30" s="5">
        <f>IFERROR(__xludf.DUMMYFUNCTION("""COMPUTED_VALUE"""),137802.0)</f>
        <v>137802</v>
      </c>
      <c r="B30" s="5" t="str">
        <f>IFERROR(__xludf.DUMMYFUNCTION("""COMPUTED_VALUE"""),"相葉莉?")</f>
        <v>相葉莉?</v>
      </c>
      <c r="C30" s="5" t="str">
        <f>IFERROR(__xludf.DUMMYFUNCTION("""COMPUTED_VALUE"""),"あいばりこ")</f>
        <v>あいばりこ</v>
      </c>
      <c r="D30" s="5">
        <f>IFERROR(__xludf.DUMMYFUNCTION("""COMPUTED_VALUE"""),3.0)</f>
        <v>3</v>
      </c>
      <c r="E30" s="5" t="str">
        <f>IFERROR(__xludf.DUMMYFUNCTION("""COMPUTED_VALUE"""),"女")</f>
        <v>女</v>
      </c>
      <c r="F30" s="5" t="str">
        <f>IFERROR(__xludf.DUMMYFUNCTION("""COMPUTED_VALUE"""),"WUA")</f>
        <v>WUA</v>
      </c>
      <c r="G30" s="5" t="str">
        <f>IFERROR(__xludf.DUMMYFUNCTION("""COMPUTED_VALUE"""),"○出場")</f>
        <v>○出場</v>
      </c>
      <c r="H30" s="5">
        <f>IFERROR(__xludf.DUMMYFUNCTION("""COMPUTED_VALUE"""),528175.0)</f>
        <v>528175</v>
      </c>
      <c r="I30" s="5" t="str">
        <f>IFERROR(__xludf.DUMMYFUNCTION("""COMPUTED_VALUE"""),"○参加する")</f>
        <v>○参加する</v>
      </c>
      <c r="J30" s="5"/>
      <c r="K30" s="12">
        <f t="shared" si="2"/>
        <v>1</v>
      </c>
    </row>
    <row r="31" ht="19.5" customHeight="1">
      <c r="A31" s="5">
        <f>IFERROR(__xludf.DUMMYFUNCTION("""COMPUTED_VALUE"""),137805.0)</f>
        <v>137805</v>
      </c>
      <c r="B31" s="5" t="str">
        <f>IFERROR(__xludf.DUMMYFUNCTION("""COMPUTED_VALUE"""),"力丸航")</f>
        <v>力丸航</v>
      </c>
      <c r="C31" s="5" t="str">
        <f>IFERROR(__xludf.DUMMYFUNCTION("""COMPUTED_VALUE"""),"りきまる　わたる")</f>
        <v>りきまる　わたる</v>
      </c>
      <c r="D31" s="5">
        <f>IFERROR(__xludf.DUMMYFUNCTION("""COMPUTED_VALUE"""),3.0)</f>
        <v>3</v>
      </c>
      <c r="E31" s="5" t="str">
        <f>IFERROR(__xludf.DUMMYFUNCTION("""COMPUTED_VALUE"""),"男")</f>
        <v>男</v>
      </c>
      <c r="F31" s="5" t="str">
        <f>IFERROR(__xludf.DUMMYFUNCTION("""COMPUTED_VALUE"""),"MUA")</f>
        <v>MUA</v>
      </c>
      <c r="G31" s="5" t="str">
        <f>IFERROR(__xludf.DUMMYFUNCTION("""COMPUTED_VALUE"""),"○出場")</f>
        <v>○出場</v>
      </c>
      <c r="H31" s="5">
        <f>IFERROR(__xludf.DUMMYFUNCTION("""COMPUTED_VALUE"""),527875.0)</f>
        <v>527875</v>
      </c>
      <c r="I31" s="5" t="str">
        <f>IFERROR(__xludf.DUMMYFUNCTION("""COMPUTED_VALUE"""),"○参加する")</f>
        <v>○参加する</v>
      </c>
      <c r="J31" s="5"/>
      <c r="K31" s="12">
        <f t="shared" si="2"/>
        <v>1</v>
      </c>
    </row>
    <row r="32" ht="19.5" customHeight="1">
      <c r="A32" s="5">
        <f>IFERROR(__xludf.DUMMYFUNCTION("""COMPUTED_VALUE"""),137806.0)</f>
        <v>137806</v>
      </c>
      <c r="B32" s="5" t="str">
        <f>IFERROR(__xludf.DUMMYFUNCTION("""COMPUTED_VALUE"""),"安部紗也佳")</f>
        <v>安部紗也佳</v>
      </c>
      <c r="C32" s="5" t="str">
        <f>IFERROR(__xludf.DUMMYFUNCTION("""COMPUTED_VALUE"""),"あべさやか")</f>
        <v>あべさやか</v>
      </c>
      <c r="D32" s="5">
        <f>IFERROR(__xludf.DUMMYFUNCTION("""COMPUTED_VALUE"""),3.0)</f>
        <v>3</v>
      </c>
      <c r="E32" s="5" t="str">
        <f>IFERROR(__xludf.DUMMYFUNCTION("""COMPUTED_VALUE"""),"女")</f>
        <v>女</v>
      </c>
      <c r="F32" s="5" t="str">
        <f>IFERROR(__xludf.DUMMYFUNCTION("""COMPUTED_VALUE"""),"WUA")</f>
        <v>WUA</v>
      </c>
      <c r="G32" s="5" t="str">
        <f>IFERROR(__xludf.DUMMYFUNCTION("""COMPUTED_VALUE"""),"○出場")</f>
        <v>○出場</v>
      </c>
      <c r="H32" s="5">
        <f>IFERROR(__xludf.DUMMYFUNCTION("""COMPUTED_VALUE"""),528176.0)</f>
        <v>528176</v>
      </c>
      <c r="I32" s="5" t="str">
        <f>IFERROR(__xludf.DUMMYFUNCTION("""COMPUTED_VALUE"""),"○参加する")</f>
        <v>○参加する</v>
      </c>
      <c r="J32" s="5"/>
      <c r="K32" s="12">
        <f t="shared" si="2"/>
        <v>1</v>
      </c>
    </row>
    <row r="33" ht="19.5" customHeight="1">
      <c r="A33" s="5">
        <f>IFERROR(__xludf.DUMMYFUNCTION("""COMPUTED_VALUE"""),37801.0)</f>
        <v>37801</v>
      </c>
      <c r="B33" s="5" t="str">
        <f>IFERROR(__xludf.DUMMYFUNCTION("""COMPUTED_VALUE"""),"宮澤海帆")</f>
        <v>宮澤海帆</v>
      </c>
      <c r="C33" s="5" t="str">
        <f>IFERROR(__xludf.DUMMYFUNCTION("""COMPUTED_VALUE"""),"みやざわみほ")</f>
        <v>みやざわみほ</v>
      </c>
      <c r="D33" s="5">
        <f>IFERROR(__xludf.DUMMYFUNCTION("""COMPUTED_VALUE"""),4.0)</f>
        <v>4</v>
      </c>
      <c r="E33" s="5" t="str">
        <f>IFERROR(__xludf.DUMMYFUNCTION("""COMPUTED_VALUE"""),"女")</f>
        <v>女</v>
      </c>
      <c r="F33" s="5" t="str">
        <f>IFERROR(__xludf.DUMMYFUNCTION("""COMPUTED_VALUE"""),"WUA")</f>
        <v>WUA</v>
      </c>
      <c r="G33" s="5" t="str">
        <f>IFERROR(__xludf.DUMMYFUNCTION("""COMPUTED_VALUE"""),"○出場")</f>
        <v>○出場</v>
      </c>
      <c r="H33" s="5">
        <f>IFERROR(__xludf.DUMMYFUNCTION("""COMPUTED_VALUE"""),524937.0)</f>
        <v>524937</v>
      </c>
      <c r="I33" s="5" t="str">
        <f>IFERROR(__xludf.DUMMYFUNCTION("""COMPUTED_VALUE"""),"○参加する")</f>
        <v>○参加する</v>
      </c>
      <c r="J33" s="5"/>
      <c r="K33" s="12">
        <f t="shared" si="2"/>
        <v>1</v>
      </c>
    </row>
    <row r="34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12">
        <f t="shared" si="2"/>
        <v>0</v>
      </c>
    </row>
    <row r="3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12">
        <f t="shared" si="2"/>
        <v>0</v>
      </c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12">
        <f t="shared" si="2"/>
        <v>0</v>
      </c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12">
        <f t="shared" si="2"/>
        <v>0</v>
      </c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12">
        <f t="shared" si="2"/>
        <v>0</v>
      </c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12">
        <f t="shared" si="2"/>
        <v>0</v>
      </c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12">
        <f t="shared" si="2"/>
        <v>0</v>
      </c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12">
        <f t="shared" si="2"/>
        <v>0</v>
      </c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12">
        <f t="shared" si="2"/>
        <v>0</v>
      </c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12">
        <f t="shared" si="2"/>
        <v>0</v>
      </c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12">
        <f t="shared" si="2"/>
        <v>0</v>
      </c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2">
        <f t="shared" si="2"/>
        <v>0</v>
      </c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2">
        <f t="shared" si="2"/>
        <v>0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1432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1</v>
      </c>
      <c r="E4" s="7">
        <f t="shared" ref="E4:E8" si="1">C4*D4</f>
        <v>8500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0</v>
      </c>
      <c r="E5" s="7">
        <f t="shared" si="1"/>
        <v>0</v>
      </c>
    </row>
    <row r="6" ht="19.5" customHeight="1">
      <c r="A6" s="2" t="s">
        <v>9</v>
      </c>
      <c r="B6" s="4"/>
      <c r="C6" s="7">
        <v>32700.0</v>
      </c>
      <c r="D6" s="5">
        <f>D4+D5</f>
        <v>1</v>
      </c>
      <c r="E6" s="7">
        <f t="shared" si="1"/>
        <v>32700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1</v>
      </c>
      <c r="E7" s="7">
        <f t="shared" si="1"/>
        <v>4500</v>
      </c>
    </row>
    <row r="8" ht="19.5" customHeight="1">
      <c r="A8" s="2" t="s">
        <v>11</v>
      </c>
      <c r="B8" s="4"/>
      <c r="C8" s="7">
        <v>500.0</v>
      </c>
      <c r="D8" s="5">
        <f>D4-COUNT(H14:H201)</f>
        <v>0</v>
      </c>
      <c r="E8" s="7">
        <f t="shared" si="1"/>
        <v>0</v>
      </c>
    </row>
    <row r="9" ht="19.5" customHeight="1">
      <c r="A9" s="9"/>
      <c r="B9" s="9"/>
      <c r="C9" s="9"/>
      <c r="D9" s="10" t="s">
        <v>5</v>
      </c>
      <c r="E9" s="11">
        <f>SUM(E4:E8)</f>
        <v>45700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IFERROR(__xludf.DUMMYFUNCTION("FILTER('個人別エントリー'!C2:L1018,'個人別エントリー'!B2:B1018=A1)"),238001.0)</f>
        <v>238001</v>
      </c>
      <c r="B14" s="5" t="str">
        <f>IFERROR(__xludf.DUMMYFUNCTION("""COMPUTED_VALUE"""),"園部仁士")</f>
        <v>園部仁士</v>
      </c>
      <c r="C14" s="5" t="str">
        <f>IFERROR(__xludf.DUMMYFUNCTION("""COMPUTED_VALUE"""),"そのべひろひと")</f>
        <v>そのべひろひと</v>
      </c>
      <c r="D14" s="5">
        <f>IFERROR(__xludf.DUMMYFUNCTION("""COMPUTED_VALUE"""),2.0)</f>
        <v>2</v>
      </c>
      <c r="E14" s="5" t="str">
        <f>IFERROR(__xludf.DUMMYFUNCTION("""COMPUTED_VALUE"""),"男")</f>
        <v>男</v>
      </c>
      <c r="F14" s="5" t="str">
        <f>IFERROR(__xludf.DUMMYFUNCTION("""COMPUTED_VALUE"""),"MUA")</f>
        <v>MUA</v>
      </c>
      <c r="G14" s="5" t="str">
        <f>IFERROR(__xludf.DUMMYFUNCTION("""COMPUTED_VALUE"""),"○出場")</f>
        <v>○出場</v>
      </c>
      <c r="H14" s="5">
        <f>IFERROR(__xludf.DUMMYFUNCTION("""COMPUTED_VALUE"""),265834.0)</f>
        <v>265834</v>
      </c>
      <c r="I14" s="5" t="str">
        <f>IFERROR(__xludf.DUMMYFUNCTION("""COMPUTED_VALUE"""),"○参加する")</f>
        <v>○参加する</v>
      </c>
      <c r="J14" s="5"/>
      <c r="K14" s="12">
        <f t="shared" ref="K14:K201" si="2">IF(AND(OR(F14="×欠場",F14=""),OR(G14="×欠場",G14="")),0,1)</f>
        <v>1</v>
      </c>
      <c r="M14" s="5" t="str">
        <f>IFERROR(__xludf.DUMMYFUNCTION("FILTER('リレー内容'!$C$2:$K$51,'リレー内容'!$B$2:$B$51=A1)"),"○出場")</f>
        <v>○出場</v>
      </c>
      <c r="N14" s="5" t="str">
        <f>IFERROR(__xludf.DUMMYFUNCTION("""COMPUTED_VALUE"""),"×欠場")</f>
        <v>×欠場</v>
      </c>
      <c r="O14" s="5">
        <f>IFERROR(__xludf.DUMMYFUNCTION("""COMPUTED_VALUE"""),0.0)</f>
        <v>0</v>
      </c>
      <c r="P14" s="5">
        <f>IFERROR(__xludf.DUMMYFUNCTION("""COMPUTED_VALUE"""),0.0)</f>
        <v>0</v>
      </c>
      <c r="Q14" s="5">
        <f>IFERROR(__xludf.DUMMYFUNCTION("""COMPUTED_VALUE"""),0.0)</f>
        <v>0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12">
        <f t="shared" si="2"/>
        <v>0</v>
      </c>
    </row>
    <row r="16" ht="19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12">
        <f t="shared" si="2"/>
        <v>0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12">
        <f t="shared" si="2"/>
        <v>0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12">
        <f t="shared" si="2"/>
        <v>0</v>
      </c>
      <c r="M18" s="5" t="s">
        <v>27</v>
      </c>
      <c r="N18" s="2" t="s">
        <v>1301</v>
      </c>
      <c r="O18" s="4"/>
      <c r="P18" s="2" t="s">
        <v>2332</v>
      </c>
      <c r="Q18" s="3"/>
      <c r="R18" s="3"/>
      <c r="S18" s="3"/>
      <c r="T18" s="3"/>
      <c r="U18" s="4"/>
    </row>
    <row r="19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12">
        <f t="shared" si="2"/>
        <v>0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12">
        <f t="shared" si="2"/>
        <v>0</v>
      </c>
    </row>
    <row r="21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12">
        <f t="shared" si="2"/>
        <v>0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2">
        <f t="shared" si="2"/>
        <v>0</v>
      </c>
      <c r="M23" s="2"/>
      <c r="N23" s="4"/>
      <c r="O23" s="2"/>
      <c r="P23" s="3"/>
      <c r="Q23" s="5"/>
      <c r="R23" s="2"/>
      <c r="S23" s="4"/>
      <c r="T23" s="14"/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2">
        <f t="shared" si="2"/>
        <v>0</v>
      </c>
      <c r="M24" s="2"/>
      <c r="N24" s="4"/>
      <c r="O24" s="2"/>
      <c r="P24" s="3"/>
      <c r="Q24" s="5"/>
      <c r="R24" s="2"/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12">
        <f t="shared" si="2"/>
        <v>0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12">
        <f t="shared" si="2"/>
        <v>0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12">
        <f t="shared" si="2"/>
        <v>0</v>
      </c>
    </row>
    <row r="28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12">
        <f t="shared" si="2"/>
        <v>0</v>
      </c>
    </row>
    <row r="29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12">
        <f t="shared" si="2"/>
        <v>0</v>
      </c>
    </row>
    <row r="3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12">
        <f t="shared" si="2"/>
        <v>0</v>
      </c>
    </row>
    <row r="31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12">
        <f t="shared" si="2"/>
        <v>0</v>
      </c>
    </row>
    <row r="32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12">
        <f t="shared" si="2"/>
        <v>0</v>
      </c>
    </row>
    <row r="33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12">
        <f t="shared" si="2"/>
        <v>0</v>
      </c>
    </row>
    <row r="34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12">
        <f t="shared" si="2"/>
        <v>0</v>
      </c>
    </row>
    <row r="3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12">
        <f t="shared" si="2"/>
        <v>0</v>
      </c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12">
        <f t="shared" si="2"/>
        <v>0</v>
      </c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12">
        <f t="shared" si="2"/>
        <v>0</v>
      </c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12">
        <f t="shared" si="2"/>
        <v>0</v>
      </c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12">
        <f t="shared" si="2"/>
        <v>0</v>
      </c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12">
        <f t="shared" si="2"/>
        <v>0</v>
      </c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12">
        <f t="shared" si="2"/>
        <v>0</v>
      </c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12">
        <f t="shared" si="2"/>
        <v>0</v>
      </c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12">
        <f t="shared" si="2"/>
        <v>0</v>
      </c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12">
        <f t="shared" si="2"/>
        <v>0</v>
      </c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2">
        <f t="shared" si="2"/>
        <v>0</v>
      </c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2">
        <f t="shared" si="2"/>
        <v>0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1435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1</v>
      </c>
      <c r="E4" s="7">
        <f t="shared" ref="E4:E6" si="1">C4*D4</f>
        <v>8500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0</v>
      </c>
      <c r="E5" s="7">
        <f t="shared" si="1"/>
        <v>0</v>
      </c>
    </row>
    <row r="6" ht="19.5" customHeight="1">
      <c r="A6" s="2" t="s">
        <v>9</v>
      </c>
      <c r="B6" s="4"/>
      <c r="C6" s="7">
        <v>32700.0</v>
      </c>
      <c r="D6" s="5">
        <f>D4+D5</f>
        <v>1</v>
      </c>
      <c r="E6" s="7">
        <f t="shared" si="1"/>
        <v>32700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1</v>
      </c>
      <c r="E7" s="7">
        <f>C7*D7/3</f>
        <v>1500</v>
      </c>
      <c r="F7" s="47" t="s">
        <v>2319</v>
      </c>
    </row>
    <row r="8" ht="19.5" customHeight="1">
      <c r="A8" s="2" t="s">
        <v>11</v>
      </c>
      <c r="B8" s="4"/>
      <c r="C8" s="7">
        <v>500.0</v>
      </c>
      <c r="D8" s="5">
        <f>D4-COUNT(H14:H201)</f>
        <v>0</v>
      </c>
      <c r="E8" s="7">
        <f>C8*D8</f>
        <v>0</v>
      </c>
    </row>
    <row r="9" ht="19.5" customHeight="1">
      <c r="A9" s="9"/>
      <c r="B9" s="9"/>
      <c r="C9" s="9"/>
      <c r="D9" s="10" t="s">
        <v>5</v>
      </c>
      <c r="E9" s="11">
        <f>SUM(E4:E8)</f>
        <v>42700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IFERROR(__xludf.DUMMYFUNCTION("FILTER('個人別エントリー'!C2:L1018,'個人別エントリー'!B2:B1018=A1)"),38801.0)</f>
        <v>38801</v>
      </c>
      <c r="B14" s="5" t="str">
        <f>IFERROR(__xludf.DUMMYFUNCTION("""COMPUTED_VALUE"""),"福田有紗")</f>
        <v>福田有紗</v>
      </c>
      <c r="C14" s="5" t="str">
        <f>IFERROR(__xludf.DUMMYFUNCTION("""COMPUTED_VALUE"""),"ふくだありさ")</f>
        <v>ふくだありさ</v>
      </c>
      <c r="D14" s="5">
        <f>IFERROR(__xludf.DUMMYFUNCTION("""COMPUTED_VALUE"""),4.0)</f>
        <v>4</v>
      </c>
      <c r="E14" s="5" t="str">
        <f>IFERROR(__xludf.DUMMYFUNCTION("""COMPUTED_VALUE"""),"女")</f>
        <v>女</v>
      </c>
      <c r="F14" s="5" t="str">
        <f>IFERROR(__xludf.DUMMYFUNCTION("""COMPUTED_VALUE"""),"WUA")</f>
        <v>WUA</v>
      </c>
      <c r="G14" s="5" t="str">
        <f>IFERROR(__xludf.DUMMYFUNCTION("""COMPUTED_VALUE"""),"○出場")</f>
        <v>○出場</v>
      </c>
      <c r="H14" s="5">
        <f>IFERROR(__xludf.DUMMYFUNCTION("""COMPUTED_VALUE"""),265831.0)</f>
        <v>265831</v>
      </c>
      <c r="I14" s="5" t="str">
        <f>IFERROR(__xludf.DUMMYFUNCTION("""COMPUTED_VALUE"""),"○参加する")</f>
        <v>○参加する</v>
      </c>
      <c r="J14" s="5"/>
      <c r="K14" s="12">
        <f t="shared" ref="K14:K201" si="2">IF(AND(OR(F14="×欠場",F14=""),OR(G14="×欠場",G14="")),0,1)</f>
        <v>1</v>
      </c>
      <c r="M14" s="5" t="str">
        <f>IFERROR(__xludf.DUMMYFUNCTION("FILTER('リレー内容'!$C$2:$K$51,'リレー内容'!$B$2:$B$51=A1)"),"×欠場")</f>
        <v>×欠場</v>
      </c>
      <c r="N14" s="5" t="str">
        <f>IFERROR(__xludf.DUMMYFUNCTION("""COMPUTED_VALUE"""),"○出場")</f>
        <v>○出場</v>
      </c>
      <c r="O14" s="5">
        <f>IFERROR(__xludf.DUMMYFUNCTION("""COMPUTED_VALUE"""),0.0)</f>
        <v>0</v>
      </c>
      <c r="P14" s="5">
        <f>IFERROR(__xludf.DUMMYFUNCTION("""COMPUTED_VALUE"""),0.0)</f>
        <v>0</v>
      </c>
      <c r="Q14" s="5">
        <f>IFERROR(__xludf.DUMMYFUNCTION("""COMPUTED_VALUE"""),0.0)</f>
        <v>0</v>
      </c>
      <c r="R14" s="5">
        <f>IFERROR(__xludf.DUMMYFUNCTION("""COMPUTED_VALUE"""),0.0)</f>
        <v>0</v>
      </c>
      <c r="S14" s="5">
        <f>IFERROR(__xludf.DUMMYFUNCTION("""COMPUTED_VALUE"""),1.0)</f>
        <v>1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12">
        <f t="shared" si="2"/>
        <v>0</v>
      </c>
    </row>
    <row r="16" ht="19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12">
        <f t="shared" si="2"/>
        <v>0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12">
        <f t="shared" si="2"/>
        <v>0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12">
        <f t="shared" si="2"/>
        <v>0</v>
      </c>
      <c r="M18" s="5" t="s">
        <v>26</v>
      </c>
      <c r="N18" s="2"/>
      <c r="O18" s="4"/>
      <c r="P18" s="2" t="s">
        <v>2328</v>
      </c>
      <c r="Q18" s="3"/>
      <c r="R18" s="3"/>
      <c r="S18" s="3"/>
      <c r="T18" s="3"/>
      <c r="U18" s="4"/>
    </row>
    <row r="19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12">
        <f t="shared" si="2"/>
        <v>0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12">
        <f t="shared" si="2"/>
        <v>0</v>
      </c>
    </row>
    <row r="21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12">
        <f t="shared" si="2"/>
        <v>0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2">
        <f t="shared" si="2"/>
        <v>0</v>
      </c>
      <c r="M23" s="2"/>
      <c r="N23" s="4"/>
      <c r="O23" s="2"/>
      <c r="P23" s="3"/>
      <c r="Q23" s="5"/>
      <c r="R23" s="2"/>
      <c r="S23" s="4"/>
      <c r="T23" s="14"/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2">
        <f t="shared" si="2"/>
        <v>0</v>
      </c>
      <c r="M24" s="2"/>
      <c r="N24" s="4"/>
      <c r="O24" s="2"/>
      <c r="P24" s="3"/>
      <c r="Q24" s="5"/>
      <c r="R24" s="2"/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12">
        <f t="shared" si="2"/>
        <v>0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12">
        <f t="shared" si="2"/>
        <v>0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12">
        <f t="shared" si="2"/>
        <v>0</v>
      </c>
    </row>
    <row r="28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12">
        <f t="shared" si="2"/>
        <v>0</v>
      </c>
    </row>
    <row r="29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12">
        <f t="shared" si="2"/>
        <v>0</v>
      </c>
    </row>
    <row r="3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12">
        <f t="shared" si="2"/>
        <v>0</v>
      </c>
    </row>
    <row r="31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12">
        <f t="shared" si="2"/>
        <v>0</v>
      </c>
    </row>
    <row r="32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12">
        <f t="shared" si="2"/>
        <v>0</v>
      </c>
    </row>
    <row r="33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12">
        <f t="shared" si="2"/>
        <v>0</v>
      </c>
    </row>
    <row r="34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12">
        <f t="shared" si="2"/>
        <v>0</v>
      </c>
    </row>
    <row r="3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12">
        <f t="shared" si="2"/>
        <v>0</v>
      </c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12">
        <f t="shared" si="2"/>
        <v>0</v>
      </c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12">
        <f t="shared" si="2"/>
        <v>0</v>
      </c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12">
        <f t="shared" si="2"/>
        <v>0</v>
      </c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12">
        <f t="shared" si="2"/>
        <v>0</v>
      </c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12">
        <f t="shared" si="2"/>
        <v>0</v>
      </c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12">
        <f t="shared" si="2"/>
        <v>0</v>
      </c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12">
        <f t="shared" si="2"/>
        <v>0</v>
      </c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12">
        <f t="shared" si="2"/>
        <v>0</v>
      </c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12">
        <f t="shared" si="2"/>
        <v>0</v>
      </c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2">
        <f t="shared" si="2"/>
        <v>0</v>
      </c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2">
        <f t="shared" si="2"/>
        <v>0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1438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3</v>
      </c>
      <c r="E4" s="7">
        <f t="shared" ref="E4:E8" si="1">C4*D4</f>
        <v>25500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0</v>
      </c>
      <c r="E5" s="7">
        <f t="shared" si="1"/>
        <v>0</v>
      </c>
    </row>
    <row r="6" ht="19.5" customHeight="1">
      <c r="A6" s="2" t="s">
        <v>9</v>
      </c>
      <c r="B6" s="4"/>
      <c r="C6" s="7">
        <v>32700.0</v>
      </c>
      <c r="D6" s="5">
        <f>D4+D5</f>
        <v>3</v>
      </c>
      <c r="E6" s="7">
        <f t="shared" si="1"/>
        <v>98100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0</v>
      </c>
      <c r="E7" s="7">
        <f t="shared" si="1"/>
        <v>0</v>
      </c>
    </row>
    <row r="8" ht="19.5" customHeight="1">
      <c r="A8" s="2" t="s">
        <v>11</v>
      </c>
      <c r="B8" s="4"/>
      <c r="C8" s="7">
        <v>500.0</v>
      </c>
      <c r="D8" s="5">
        <f>D4-COUNT(H14:H201)</f>
        <v>0</v>
      </c>
      <c r="E8" s="7">
        <f t="shared" si="1"/>
        <v>0</v>
      </c>
    </row>
    <row r="9" ht="19.5" customHeight="1">
      <c r="A9" s="9"/>
      <c r="B9" s="9"/>
      <c r="C9" s="9"/>
      <c r="D9" s="10" t="s">
        <v>5</v>
      </c>
      <c r="E9" s="11">
        <f>SUM(E4:E8)</f>
        <v>123600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IFERROR(__xludf.DUMMYFUNCTION("FILTER('個人別エントリー'!C2:L1018,'個人別エントリー'!B2:B1018=A1)"),239101.0)</f>
        <v>239101</v>
      </c>
      <c r="B14" s="5" t="str">
        <f>IFERROR(__xludf.DUMMYFUNCTION("""COMPUTED_VALUE"""),"一条　理央")</f>
        <v>一条　理央</v>
      </c>
      <c r="C14" s="5" t="str">
        <f>IFERROR(__xludf.DUMMYFUNCTION("""COMPUTED_VALUE"""),"いちじょう　りお")</f>
        <v>いちじょう　りお</v>
      </c>
      <c r="D14" s="5">
        <f>IFERROR(__xludf.DUMMYFUNCTION("""COMPUTED_VALUE"""),2.0)</f>
        <v>2</v>
      </c>
      <c r="E14" s="5" t="str">
        <f>IFERROR(__xludf.DUMMYFUNCTION("""COMPUTED_VALUE"""),"女")</f>
        <v>女</v>
      </c>
      <c r="F14" s="5" t="str">
        <f>IFERROR(__xludf.DUMMYFUNCTION("""COMPUTED_VALUE"""),"WUA")</f>
        <v>WUA</v>
      </c>
      <c r="G14" s="5" t="str">
        <f>IFERROR(__xludf.DUMMYFUNCTION("""COMPUTED_VALUE"""),"○出場")</f>
        <v>○出場</v>
      </c>
      <c r="H14" s="5">
        <f>IFERROR(__xludf.DUMMYFUNCTION("""COMPUTED_VALUE"""),265852.0)</f>
        <v>265852</v>
      </c>
      <c r="I14" s="5" t="str">
        <f>IFERROR(__xludf.DUMMYFUNCTION("""COMPUTED_VALUE"""),"○参加する")</f>
        <v>○参加する</v>
      </c>
      <c r="J14" s="5"/>
      <c r="K14" s="12">
        <f t="shared" ref="K14:K201" si="2">IF(AND(OR(F14="×欠場",F14=""),OR(G14="×欠場",G14="")),0,1)</f>
        <v>1</v>
      </c>
      <c r="M14" s="5" t="str">
        <f>IFERROR(__xludf.DUMMYFUNCTION("FILTER('リレー内容'!$C$2:$K$51,'リレー内容'!$B$2:$B$51=A1)"),"×欠場")</f>
        <v>×欠場</v>
      </c>
      <c r="N14" s="5" t="str">
        <f>IFERROR(__xludf.DUMMYFUNCTION("""COMPUTED_VALUE"""),"×欠場")</f>
        <v>×欠場</v>
      </c>
      <c r="O14" s="5">
        <f>IFERROR(__xludf.DUMMYFUNCTION("""COMPUTED_VALUE"""),0.0)</f>
        <v>0</v>
      </c>
      <c r="P14" s="5">
        <f>IFERROR(__xludf.DUMMYFUNCTION("""COMPUTED_VALUE"""),1.0)</f>
        <v>1</v>
      </c>
      <c r="Q14" s="5">
        <f>IFERROR(__xludf.DUMMYFUNCTION("""COMPUTED_VALUE"""),0.0)</f>
        <v>0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IFERROR(__xludf.DUMMYFUNCTION("""COMPUTED_VALUE"""),39101.0)</f>
        <v>39101</v>
      </c>
      <c r="B15" s="5" t="str">
        <f>IFERROR(__xludf.DUMMYFUNCTION("""COMPUTED_VALUE"""),"齋藤遥")</f>
        <v>齋藤遥</v>
      </c>
      <c r="C15" s="5" t="str">
        <f>IFERROR(__xludf.DUMMYFUNCTION("""COMPUTED_VALUE"""),"さいとうはるか")</f>
        <v>さいとうはるか</v>
      </c>
      <c r="D15" s="5">
        <f>IFERROR(__xludf.DUMMYFUNCTION("""COMPUTED_VALUE"""),4.0)</f>
        <v>4</v>
      </c>
      <c r="E15" s="5" t="str">
        <f>IFERROR(__xludf.DUMMYFUNCTION("""COMPUTED_VALUE"""),"女")</f>
        <v>女</v>
      </c>
      <c r="F15" s="5" t="str">
        <f>IFERROR(__xludf.DUMMYFUNCTION("""COMPUTED_VALUE"""),"WUA")</f>
        <v>WUA</v>
      </c>
      <c r="G15" s="5" t="str">
        <f>IFERROR(__xludf.DUMMYFUNCTION("""COMPUTED_VALUE"""),"○出場")</f>
        <v>○出場</v>
      </c>
      <c r="H15" s="5">
        <f>IFERROR(__xludf.DUMMYFUNCTION("""COMPUTED_VALUE"""),513048.0)</f>
        <v>513048</v>
      </c>
      <c r="I15" s="5" t="str">
        <f>IFERROR(__xludf.DUMMYFUNCTION("""COMPUTED_VALUE"""),"○参加する")</f>
        <v>○参加する</v>
      </c>
      <c r="J15" s="5"/>
      <c r="K15" s="12">
        <f t="shared" si="2"/>
        <v>1</v>
      </c>
    </row>
    <row r="16" ht="19.5" customHeight="1">
      <c r="A16" s="5">
        <f>IFERROR(__xludf.DUMMYFUNCTION("""COMPUTED_VALUE"""),39103.0)</f>
        <v>39103</v>
      </c>
      <c r="B16" s="5" t="str">
        <f>IFERROR(__xludf.DUMMYFUNCTION("""COMPUTED_VALUE"""),"木村 雪乃")</f>
        <v>木村 雪乃</v>
      </c>
      <c r="C16" s="5" t="str">
        <f>IFERROR(__xludf.DUMMYFUNCTION("""COMPUTED_VALUE"""),"きむら ゆきの")</f>
        <v>きむら ゆきの</v>
      </c>
      <c r="D16" s="5">
        <f>IFERROR(__xludf.DUMMYFUNCTION("""COMPUTED_VALUE"""),4.0)</f>
        <v>4</v>
      </c>
      <c r="E16" s="5" t="str">
        <f>IFERROR(__xludf.DUMMYFUNCTION("""COMPUTED_VALUE"""),"女")</f>
        <v>女</v>
      </c>
      <c r="F16" s="5" t="str">
        <f>IFERROR(__xludf.DUMMYFUNCTION("""COMPUTED_VALUE"""),"WUA")</f>
        <v>WUA</v>
      </c>
      <c r="G16" s="5" t="str">
        <f>IFERROR(__xludf.DUMMYFUNCTION("""COMPUTED_VALUE"""),"○出場")</f>
        <v>○出場</v>
      </c>
      <c r="H16" s="5">
        <f>IFERROR(__xludf.DUMMYFUNCTION("""COMPUTED_VALUE"""),270253.0)</f>
        <v>270253</v>
      </c>
      <c r="I16" s="5" t="str">
        <f>IFERROR(__xludf.DUMMYFUNCTION("""COMPUTED_VALUE"""),"○参加する")</f>
        <v>○参加する</v>
      </c>
      <c r="J16" s="5"/>
      <c r="K16" s="12">
        <f t="shared" si="2"/>
        <v>1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12">
        <f t="shared" si="2"/>
        <v>0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12">
        <f t="shared" si="2"/>
        <v>0</v>
      </c>
      <c r="M18" s="5"/>
      <c r="N18" s="2"/>
      <c r="O18" s="4"/>
      <c r="P18" s="2"/>
      <c r="Q18" s="3"/>
      <c r="R18" s="3"/>
      <c r="S18" s="3"/>
      <c r="T18" s="3"/>
      <c r="U18" s="4"/>
    </row>
    <row r="19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12">
        <f t="shared" si="2"/>
        <v>0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12">
        <f t="shared" si="2"/>
        <v>0</v>
      </c>
    </row>
    <row r="21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12">
        <f t="shared" si="2"/>
        <v>0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2">
        <f t="shared" si="2"/>
        <v>0</v>
      </c>
      <c r="M23" s="2"/>
      <c r="N23" s="4"/>
      <c r="O23" s="2"/>
      <c r="P23" s="3"/>
      <c r="Q23" s="5"/>
      <c r="R23" s="2"/>
      <c r="S23" s="4"/>
      <c r="T23" s="14"/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2">
        <f t="shared" si="2"/>
        <v>0</v>
      </c>
      <c r="M24" s="2"/>
      <c r="N24" s="4"/>
      <c r="O24" s="2"/>
      <c r="P24" s="3"/>
      <c r="Q24" s="5"/>
      <c r="R24" s="2"/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12">
        <f t="shared" si="2"/>
        <v>0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12">
        <f t="shared" si="2"/>
        <v>0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12">
        <f t="shared" si="2"/>
        <v>0</v>
      </c>
    </row>
    <row r="28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12">
        <f t="shared" si="2"/>
        <v>0</v>
      </c>
    </row>
    <row r="29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12">
        <f t="shared" si="2"/>
        <v>0</v>
      </c>
    </row>
    <row r="3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12">
        <f t="shared" si="2"/>
        <v>0</v>
      </c>
    </row>
    <row r="31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12">
        <f t="shared" si="2"/>
        <v>0</v>
      </c>
    </row>
    <row r="32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12">
        <f t="shared" si="2"/>
        <v>0</v>
      </c>
    </row>
    <row r="33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12">
        <f t="shared" si="2"/>
        <v>0</v>
      </c>
    </row>
    <row r="34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12">
        <f t="shared" si="2"/>
        <v>0</v>
      </c>
    </row>
    <row r="3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12">
        <f t="shared" si="2"/>
        <v>0</v>
      </c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12">
        <f t="shared" si="2"/>
        <v>0</v>
      </c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12">
        <f t="shared" si="2"/>
        <v>0</v>
      </c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12">
        <f t="shared" si="2"/>
        <v>0</v>
      </c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12">
        <f t="shared" si="2"/>
        <v>0</v>
      </c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12">
        <f t="shared" si="2"/>
        <v>0</v>
      </c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12">
        <f t="shared" si="2"/>
        <v>0</v>
      </c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12">
        <f t="shared" si="2"/>
        <v>0</v>
      </c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12">
        <f t="shared" si="2"/>
        <v>0</v>
      </c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12">
        <f t="shared" si="2"/>
        <v>0</v>
      </c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2">
        <f t="shared" si="2"/>
        <v>0</v>
      </c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2">
        <f t="shared" si="2"/>
        <v>0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1445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3</v>
      </c>
      <c r="E4" s="7">
        <f t="shared" ref="E4:E8" si="1">C4*D4</f>
        <v>25500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0</v>
      </c>
      <c r="E5" s="7">
        <f t="shared" si="1"/>
        <v>0</v>
      </c>
    </row>
    <row r="6" ht="19.5" customHeight="1">
      <c r="A6" s="2" t="s">
        <v>9</v>
      </c>
      <c r="B6" s="4"/>
      <c r="C6" s="7">
        <v>32700.0</v>
      </c>
      <c r="D6" s="5">
        <f>D4+D5</f>
        <v>3</v>
      </c>
      <c r="E6" s="7">
        <f t="shared" si="1"/>
        <v>98100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0</v>
      </c>
      <c r="E7" s="7">
        <f t="shared" si="1"/>
        <v>0</v>
      </c>
    </row>
    <row r="8" ht="19.5" customHeight="1">
      <c r="A8" s="2" t="s">
        <v>11</v>
      </c>
      <c r="B8" s="4"/>
      <c r="C8" s="7">
        <v>500.0</v>
      </c>
      <c r="D8" s="5">
        <f>D4-COUNT(H14:H201)</f>
        <v>0</v>
      </c>
      <c r="E8" s="7">
        <f t="shared" si="1"/>
        <v>0</v>
      </c>
    </row>
    <row r="9" ht="19.5" customHeight="1">
      <c r="A9" s="9"/>
      <c r="B9" s="9"/>
      <c r="C9" s="9"/>
      <c r="D9" s="10" t="s">
        <v>5</v>
      </c>
      <c r="E9" s="11">
        <f>SUM(E4:E8)</f>
        <v>123600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IFERROR(__xludf.DUMMYFUNCTION("FILTER('個人別エントリー'!C2:L1018,'個人別エントリー'!B2:B1018=A1)"),339601.0)</f>
        <v>339601</v>
      </c>
      <c r="B14" s="5" t="str">
        <f>IFERROR(__xludf.DUMMYFUNCTION("""COMPUTED_VALUE"""),"奥村尚史")</f>
        <v>奥村尚史</v>
      </c>
      <c r="C14" s="5" t="str">
        <f>IFERROR(__xludf.DUMMYFUNCTION("""COMPUTED_VALUE"""),"おくむら なおふみ")</f>
        <v>おくむら なおふみ</v>
      </c>
      <c r="D14" s="5">
        <f>IFERROR(__xludf.DUMMYFUNCTION("""COMPUTED_VALUE"""),1.0)</f>
        <v>1</v>
      </c>
      <c r="E14" s="5" t="str">
        <f>IFERROR(__xludf.DUMMYFUNCTION("""COMPUTED_VALUE"""),"男")</f>
        <v>男</v>
      </c>
      <c r="F14" s="5" t="str">
        <f>IFERROR(__xludf.DUMMYFUNCTION("""COMPUTED_VALUE"""),"×欠場")</f>
        <v>×欠場</v>
      </c>
      <c r="G14" s="5" t="str">
        <f>IFERROR(__xludf.DUMMYFUNCTION("""COMPUTED_VALUE"""),"×欠場")</f>
        <v>×欠場</v>
      </c>
      <c r="H14" s="5"/>
      <c r="I14" s="5" t="str">
        <f>IFERROR(__xludf.DUMMYFUNCTION("""COMPUTED_VALUE"""),"×参加しない")</f>
        <v>×参加しない</v>
      </c>
      <c r="J14" s="5"/>
      <c r="K14" s="12">
        <f t="shared" ref="K14:K201" si="2">IF(AND(OR(F14="×欠場",F14=""),OR(G14="×欠場",G14="")),0,1)</f>
        <v>0</v>
      </c>
      <c r="M14" s="5" t="str">
        <f>IFERROR(__xludf.DUMMYFUNCTION("FILTER('リレー内容'!$C$2:$K$51,'リレー内容'!$B$2:$B$51=A1)"),"×欠場")</f>
        <v>×欠場</v>
      </c>
      <c r="N14" s="5" t="str">
        <f>IFERROR(__xludf.DUMMYFUNCTION("""COMPUTED_VALUE"""),"×欠場")</f>
        <v>×欠場</v>
      </c>
      <c r="O14" s="5">
        <f>IFERROR(__xludf.DUMMYFUNCTION("""COMPUTED_VALUE"""),0.0)</f>
        <v>0</v>
      </c>
      <c r="P14" s="5">
        <f>IFERROR(__xludf.DUMMYFUNCTION("""COMPUTED_VALUE"""),0.0)</f>
        <v>0</v>
      </c>
      <c r="Q14" s="5">
        <f>IFERROR(__xludf.DUMMYFUNCTION("""COMPUTED_VALUE"""),1.0)</f>
        <v>1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IFERROR(__xludf.DUMMYFUNCTION("""COMPUTED_VALUE"""),139601.0)</f>
        <v>139601</v>
      </c>
      <c r="B15" s="5" t="str">
        <f>IFERROR(__xludf.DUMMYFUNCTION("""COMPUTED_VALUE"""),"溝端昭子")</f>
        <v>溝端昭子</v>
      </c>
      <c r="C15" s="5" t="str">
        <f>IFERROR(__xludf.DUMMYFUNCTION("""COMPUTED_VALUE"""),"みぞばた　あきこ")</f>
        <v>みぞばた　あきこ</v>
      </c>
      <c r="D15" s="5">
        <f>IFERROR(__xludf.DUMMYFUNCTION("""COMPUTED_VALUE"""),3.0)</f>
        <v>3</v>
      </c>
      <c r="E15" s="5" t="str">
        <f>IFERROR(__xludf.DUMMYFUNCTION("""COMPUTED_VALUE"""),"女")</f>
        <v>女</v>
      </c>
      <c r="F15" s="5" t="str">
        <f>IFERROR(__xludf.DUMMYFUNCTION("""COMPUTED_VALUE"""),"WUA")</f>
        <v>WUA</v>
      </c>
      <c r="G15" s="5" t="str">
        <f>IFERROR(__xludf.DUMMYFUNCTION("""COMPUTED_VALUE"""),"○出場")</f>
        <v>○出場</v>
      </c>
      <c r="H15" s="5">
        <f>IFERROR(__xludf.DUMMYFUNCTION("""COMPUTED_VALUE"""),265323.0)</f>
        <v>265323</v>
      </c>
      <c r="I15" s="5" t="str">
        <f>IFERROR(__xludf.DUMMYFUNCTION("""COMPUTED_VALUE"""),"○参加する")</f>
        <v>○参加する</v>
      </c>
      <c r="J15" s="5"/>
      <c r="K15" s="12">
        <f t="shared" si="2"/>
        <v>1</v>
      </c>
    </row>
    <row r="16" ht="19.5" customHeight="1">
      <c r="A16" s="5">
        <f>IFERROR(__xludf.DUMMYFUNCTION("""COMPUTED_VALUE"""),139602.0)</f>
        <v>139602</v>
      </c>
      <c r="B16" s="5" t="str">
        <f>IFERROR(__xludf.DUMMYFUNCTION("""COMPUTED_VALUE"""),"小林聖矢")</f>
        <v>小林聖矢</v>
      </c>
      <c r="C16" s="5" t="str">
        <f>IFERROR(__xludf.DUMMYFUNCTION("""COMPUTED_VALUE"""),"こばやし　せいや")</f>
        <v>こばやし　せいや</v>
      </c>
      <c r="D16" s="5">
        <f>IFERROR(__xludf.DUMMYFUNCTION("""COMPUTED_VALUE"""),3.0)</f>
        <v>3</v>
      </c>
      <c r="E16" s="5" t="str">
        <f>IFERROR(__xludf.DUMMYFUNCTION("""COMPUTED_VALUE"""),"男")</f>
        <v>男</v>
      </c>
      <c r="F16" s="5" t="str">
        <f>IFERROR(__xludf.DUMMYFUNCTION("""COMPUTED_VALUE"""),"×欠場")</f>
        <v>×欠場</v>
      </c>
      <c r="G16" s="5" t="str">
        <f>IFERROR(__xludf.DUMMYFUNCTION("""COMPUTED_VALUE"""),"○出場")</f>
        <v>○出場</v>
      </c>
      <c r="H16" s="5">
        <f>IFERROR(__xludf.DUMMYFUNCTION("""COMPUTED_VALUE"""),257812.0)</f>
        <v>257812</v>
      </c>
      <c r="I16" s="5" t="str">
        <f>IFERROR(__xludf.DUMMYFUNCTION("""COMPUTED_VALUE"""),"×参加しない")</f>
        <v>×参加しない</v>
      </c>
      <c r="J16" s="5" t="str">
        <f>IFERROR(__xludf.DUMMYFUNCTION("""COMPUTED_VALUE"""),"3月15、16日")</f>
        <v>3月15、16日</v>
      </c>
      <c r="K16" s="12">
        <f t="shared" si="2"/>
        <v>1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>
        <f>IFERROR(__xludf.DUMMYFUNCTION("""COMPUTED_VALUE"""),139603.0)</f>
        <v>139603</v>
      </c>
      <c r="B17" s="5" t="str">
        <f>IFERROR(__xludf.DUMMYFUNCTION("""COMPUTED_VALUE"""),"新井悠仁")</f>
        <v>新井悠仁</v>
      </c>
      <c r="C17" s="5" t="str">
        <f>IFERROR(__xludf.DUMMYFUNCTION("""COMPUTED_VALUE"""),"あらい　ゆうと")</f>
        <v>あらい　ゆうと</v>
      </c>
      <c r="D17" s="5">
        <f>IFERROR(__xludf.DUMMYFUNCTION("""COMPUTED_VALUE"""),3.0)</f>
        <v>3</v>
      </c>
      <c r="E17" s="5" t="str">
        <f>IFERROR(__xludf.DUMMYFUNCTION("""COMPUTED_VALUE"""),"男")</f>
        <v>男</v>
      </c>
      <c r="F17" s="5" t="str">
        <f>IFERROR(__xludf.DUMMYFUNCTION("""COMPUTED_VALUE"""),"MUA")</f>
        <v>MUA</v>
      </c>
      <c r="G17" s="5" t="str">
        <f>IFERROR(__xludf.DUMMYFUNCTION("""COMPUTED_VALUE"""),"○出場")</f>
        <v>○出場</v>
      </c>
      <c r="H17" s="5">
        <f>IFERROR(__xludf.DUMMYFUNCTION("""COMPUTED_VALUE"""),265833.0)</f>
        <v>265833</v>
      </c>
      <c r="I17" s="5" t="str">
        <f>IFERROR(__xludf.DUMMYFUNCTION("""COMPUTED_VALUE"""),"×参加しない")</f>
        <v>×参加しない</v>
      </c>
      <c r="J17" s="5"/>
      <c r="K17" s="12">
        <f t="shared" si="2"/>
        <v>1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12">
        <f t="shared" si="2"/>
        <v>0</v>
      </c>
      <c r="M18" s="5"/>
      <c r="N18" s="2"/>
      <c r="O18" s="4"/>
      <c r="P18" s="2"/>
      <c r="Q18" s="3"/>
      <c r="R18" s="3"/>
      <c r="S18" s="3"/>
      <c r="T18" s="3"/>
      <c r="U18" s="4"/>
    </row>
    <row r="19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12">
        <f t="shared" si="2"/>
        <v>0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12">
        <f t="shared" si="2"/>
        <v>0</v>
      </c>
    </row>
    <row r="21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12">
        <f t="shared" si="2"/>
        <v>0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2">
        <f t="shared" si="2"/>
        <v>0</v>
      </c>
      <c r="M23" s="2"/>
      <c r="N23" s="4"/>
      <c r="O23" s="2"/>
      <c r="P23" s="3"/>
      <c r="Q23" s="5"/>
      <c r="R23" s="2"/>
      <c r="S23" s="4"/>
      <c r="T23" s="14"/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2">
        <f t="shared" si="2"/>
        <v>0</v>
      </c>
      <c r="M24" s="2"/>
      <c r="N24" s="4"/>
      <c r="O24" s="2"/>
      <c r="P24" s="3"/>
      <c r="Q24" s="5"/>
      <c r="R24" s="2"/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12">
        <f t="shared" si="2"/>
        <v>0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12">
        <f t="shared" si="2"/>
        <v>0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12">
        <f t="shared" si="2"/>
        <v>0</v>
      </c>
    </row>
    <row r="28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12">
        <f t="shared" si="2"/>
        <v>0</v>
      </c>
    </row>
    <row r="29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12">
        <f t="shared" si="2"/>
        <v>0</v>
      </c>
    </row>
    <row r="3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12">
        <f t="shared" si="2"/>
        <v>0</v>
      </c>
    </row>
    <row r="31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12">
        <f t="shared" si="2"/>
        <v>0</v>
      </c>
    </row>
    <row r="32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12">
        <f t="shared" si="2"/>
        <v>0</v>
      </c>
    </row>
    <row r="33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12">
        <f t="shared" si="2"/>
        <v>0</v>
      </c>
    </row>
    <row r="34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12">
        <f t="shared" si="2"/>
        <v>0</v>
      </c>
    </row>
    <row r="3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12">
        <f t="shared" si="2"/>
        <v>0</v>
      </c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12">
        <f t="shared" si="2"/>
        <v>0</v>
      </c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12">
        <f t="shared" si="2"/>
        <v>0</v>
      </c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12">
        <f t="shared" si="2"/>
        <v>0</v>
      </c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12">
        <f t="shared" si="2"/>
        <v>0</v>
      </c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12">
        <f t="shared" si="2"/>
        <v>0</v>
      </c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12">
        <f t="shared" si="2"/>
        <v>0</v>
      </c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12">
        <f t="shared" si="2"/>
        <v>0</v>
      </c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12">
        <f t="shared" si="2"/>
        <v>0</v>
      </c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12">
        <f t="shared" si="2"/>
        <v>0</v>
      </c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2">
        <f t="shared" si="2"/>
        <v>0</v>
      </c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2">
        <f t="shared" si="2"/>
        <v>0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51" t="s">
        <v>1454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9</v>
      </c>
      <c r="E4" s="7">
        <f t="shared" ref="E4:E8" si="1">C4*D4</f>
        <v>76500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0</v>
      </c>
      <c r="E5" s="7">
        <f t="shared" si="1"/>
        <v>0</v>
      </c>
    </row>
    <row r="6" ht="19.5" customHeight="1">
      <c r="A6" s="2" t="s">
        <v>9</v>
      </c>
      <c r="B6" s="4"/>
      <c r="C6" s="7">
        <v>32700.0</v>
      </c>
      <c r="D6" s="5">
        <f>D4+D5</f>
        <v>9</v>
      </c>
      <c r="E6" s="7">
        <f t="shared" si="1"/>
        <v>294300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1</v>
      </c>
      <c r="E7" s="7">
        <f t="shared" si="1"/>
        <v>4500</v>
      </c>
    </row>
    <row r="8" ht="19.5" customHeight="1">
      <c r="A8" s="2" t="s">
        <v>11</v>
      </c>
      <c r="B8" s="4"/>
      <c r="C8" s="7">
        <v>500.0</v>
      </c>
      <c r="D8" s="5">
        <f>D4-COUNT(H14:H201)</f>
        <v>4</v>
      </c>
      <c r="E8" s="7">
        <f t="shared" si="1"/>
        <v>2000</v>
      </c>
    </row>
    <row r="9" ht="19.5" customHeight="1">
      <c r="A9" s="9"/>
      <c r="B9" s="9"/>
      <c r="C9" s="9"/>
      <c r="D9" s="10" t="s">
        <v>5</v>
      </c>
      <c r="E9" s="11">
        <f>SUM(E4:E8)</f>
        <v>377300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IFERROR(__xludf.DUMMYFUNCTION("FILTER('個人別エントリー'!C2:L1018,'個人別エントリー'!B2:B1018=A1)"),340101.0)</f>
        <v>340101</v>
      </c>
      <c r="B14" s="5" t="str">
        <f>IFERROR(__xludf.DUMMYFUNCTION("""COMPUTED_VALUE"""),"有本健吾")</f>
        <v>有本健吾</v>
      </c>
      <c r="C14" s="5" t="str">
        <f>IFERROR(__xludf.DUMMYFUNCTION("""COMPUTED_VALUE"""),"ありもとけんご")</f>
        <v>ありもとけんご</v>
      </c>
      <c r="D14" s="5">
        <f>IFERROR(__xludf.DUMMYFUNCTION("""COMPUTED_VALUE"""),1.0)</f>
        <v>1</v>
      </c>
      <c r="E14" s="5" t="str">
        <f>IFERROR(__xludf.DUMMYFUNCTION("""COMPUTED_VALUE"""),"男")</f>
        <v>男</v>
      </c>
      <c r="F14" s="5" t="str">
        <f>IFERROR(__xludf.DUMMYFUNCTION("""COMPUTED_VALUE"""),"MUF")</f>
        <v>MUF</v>
      </c>
      <c r="G14" s="5" t="str">
        <f>IFERROR(__xludf.DUMMYFUNCTION("""COMPUTED_VALUE"""),"×欠場")</f>
        <v>×欠場</v>
      </c>
      <c r="H14" s="5"/>
      <c r="I14" s="5" t="str">
        <f>IFERROR(__xludf.DUMMYFUNCTION("""COMPUTED_VALUE"""),"×参加しない")</f>
        <v>×参加しない</v>
      </c>
      <c r="J14" s="5"/>
      <c r="K14" s="12">
        <f t="shared" ref="K14:K201" si="2">IF(AND(OR(F14="×欠場",F14=""),OR(G14="×欠場",G14="")),0,1)</f>
        <v>1</v>
      </c>
      <c r="M14" s="5" t="str">
        <f>IFERROR(__xludf.DUMMYFUNCTION("FILTER('リレー内容'!$C$2:$K$51,'リレー内容'!$B$2:$B$51=A1)"),"○出場")</f>
        <v>○出場</v>
      </c>
      <c r="N14" s="5" t="str">
        <f>IFERROR(__xludf.DUMMYFUNCTION("""COMPUTED_VALUE"""),"×欠場")</f>
        <v>×欠場</v>
      </c>
      <c r="O14" s="5">
        <f>IFERROR(__xludf.DUMMYFUNCTION("""COMPUTED_VALUE"""),0.0)</f>
        <v>0</v>
      </c>
      <c r="P14" s="5">
        <f>IFERROR(__xludf.DUMMYFUNCTION("""COMPUTED_VALUE"""),0.0)</f>
        <v>0</v>
      </c>
      <c r="Q14" s="5">
        <f>IFERROR(__xludf.DUMMYFUNCTION("""COMPUTED_VALUE"""),0.0)</f>
        <v>0</v>
      </c>
      <c r="R14" s="5">
        <f>IFERROR(__xludf.DUMMYFUNCTION("""COMPUTED_VALUE"""),2.0)</f>
        <v>2</v>
      </c>
      <c r="S14" s="5">
        <f>IFERROR(__xludf.DUMMYFUNCTION("""COMPUTED_VALUE"""),0.0)</f>
        <v>0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IFERROR(__xludf.DUMMYFUNCTION("""COMPUTED_VALUE"""),340102.0)</f>
        <v>340102</v>
      </c>
      <c r="B15" s="5" t="str">
        <f>IFERROR(__xludf.DUMMYFUNCTION("""COMPUTED_VALUE"""),"鈴木瑛斗")</f>
        <v>鈴木瑛斗</v>
      </c>
      <c r="C15" s="5" t="str">
        <f>IFERROR(__xludf.DUMMYFUNCTION("""COMPUTED_VALUE"""),"すずきえいと")</f>
        <v>すずきえいと</v>
      </c>
      <c r="D15" s="5">
        <f>IFERROR(__xludf.DUMMYFUNCTION("""COMPUTED_VALUE"""),1.0)</f>
        <v>1</v>
      </c>
      <c r="E15" s="5" t="str">
        <f>IFERROR(__xludf.DUMMYFUNCTION("""COMPUTED_VALUE"""),"男")</f>
        <v>男</v>
      </c>
      <c r="F15" s="5" t="str">
        <f>IFERROR(__xludf.DUMMYFUNCTION("""COMPUTED_VALUE"""),"×欠場")</f>
        <v>×欠場</v>
      </c>
      <c r="G15" s="5" t="str">
        <f>IFERROR(__xludf.DUMMYFUNCTION("""COMPUTED_VALUE"""),"×欠場")</f>
        <v>×欠場</v>
      </c>
      <c r="H15" s="5"/>
      <c r="I15" s="5" t="str">
        <f>IFERROR(__xludf.DUMMYFUNCTION("""COMPUTED_VALUE"""),"×参加しない")</f>
        <v>×参加しない</v>
      </c>
      <c r="J15" s="5"/>
      <c r="K15" s="12">
        <f t="shared" si="2"/>
        <v>0</v>
      </c>
    </row>
    <row r="16" ht="19.5" customHeight="1">
      <c r="A16" s="5">
        <f>IFERROR(__xludf.DUMMYFUNCTION("""COMPUTED_VALUE"""),340103.0)</f>
        <v>340103</v>
      </c>
      <c r="B16" s="5" t="str">
        <f>IFERROR(__xludf.DUMMYFUNCTION("""COMPUTED_VALUE"""),"山口士裕")</f>
        <v>山口士裕</v>
      </c>
      <c r="C16" s="5" t="str">
        <f>IFERROR(__xludf.DUMMYFUNCTION("""COMPUTED_VALUE"""),"やまぐちしゅう")</f>
        <v>やまぐちしゅう</v>
      </c>
      <c r="D16" s="5">
        <f>IFERROR(__xludf.DUMMYFUNCTION("""COMPUTED_VALUE"""),1.0)</f>
        <v>1</v>
      </c>
      <c r="E16" s="5" t="str">
        <f>IFERROR(__xludf.DUMMYFUNCTION("""COMPUTED_VALUE"""),"男")</f>
        <v>男</v>
      </c>
      <c r="F16" s="5" t="str">
        <f>IFERROR(__xludf.DUMMYFUNCTION("""COMPUTED_VALUE"""),"×欠場")</f>
        <v>×欠場</v>
      </c>
      <c r="G16" s="5" t="str">
        <f>IFERROR(__xludf.DUMMYFUNCTION("""COMPUTED_VALUE"""),"×欠場")</f>
        <v>×欠場</v>
      </c>
      <c r="H16" s="5"/>
      <c r="I16" s="5" t="str">
        <f>IFERROR(__xludf.DUMMYFUNCTION("""COMPUTED_VALUE"""),"×参加しない")</f>
        <v>×参加しない</v>
      </c>
      <c r="J16" s="5"/>
      <c r="K16" s="12">
        <f t="shared" si="2"/>
        <v>0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>
        <f>IFERROR(__xludf.DUMMYFUNCTION("""COMPUTED_VALUE"""),340104.0)</f>
        <v>340104</v>
      </c>
      <c r="B17" s="5" t="str">
        <f>IFERROR(__xludf.DUMMYFUNCTION("""COMPUTED_VALUE"""),"市川雄大")</f>
        <v>市川雄大</v>
      </c>
      <c r="C17" s="5" t="str">
        <f>IFERROR(__xludf.DUMMYFUNCTION("""COMPUTED_VALUE"""),"いちかわゆうだい")</f>
        <v>いちかわゆうだい</v>
      </c>
      <c r="D17" s="5">
        <f>IFERROR(__xludf.DUMMYFUNCTION("""COMPUTED_VALUE"""),1.0)</f>
        <v>1</v>
      </c>
      <c r="E17" s="5" t="str">
        <f>IFERROR(__xludf.DUMMYFUNCTION("""COMPUTED_VALUE"""),"男")</f>
        <v>男</v>
      </c>
      <c r="F17" s="5" t="str">
        <f>IFERROR(__xludf.DUMMYFUNCTION("""COMPUTED_VALUE"""),"×欠場")</f>
        <v>×欠場</v>
      </c>
      <c r="G17" s="5" t="str">
        <f>IFERROR(__xludf.DUMMYFUNCTION("""COMPUTED_VALUE"""),"×欠場")</f>
        <v>×欠場</v>
      </c>
      <c r="H17" s="5"/>
      <c r="I17" s="5" t="str">
        <f>IFERROR(__xludf.DUMMYFUNCTION("""COMPUTED_VALUE"""),"×参加しない")</f>
        <v>×参加しない</v>
      </c>
      <c r="J17" s="5"/>
      <c r="K17" s="12">
        <f t="shared" si="2"/>
        <v>0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>
        <f>IFERROR(__xludf.DUMMYFUNCTION("""COMPUTED_VALUE"""),340105.0)</f>
        <v>340105</v>
      </c>
      <c r="B18" s="5" t="str">
        <f>IFERROR(__xludf.DUMMYFUNCTION("""COMPUTED_VALUE"""),"西ヶ谷直樹")</f>
        <v>西ヶ谷直樹</v>
      </c>
      <c r="C18" s="5" t="str">
        <f>IFERROR(__xludf.DUMMYFUNCTION("""COMPUTED_VALUE"""),"にしがやなおき")</f>
        <v>にしがやなおき</v>
      </c>
      <c r="D18" s="5">
        <f>IFERROR(__xludf.DUMMYFUNCTION("""COMPUTED_VALUE"""),1.0)</f>
        <v>1</v>
      </c>
      <c r="E18" s="5" t="str">
        <f>IFERROR(__xludf.DUMMYFUNCTION("""COMPUTED_VALUE"""),"男")</f>
        <v>男</v>
      </c>
      <c r="F18" s="5" t="str">
        <f>IFERROR(__xludf.DUMMYFUNCTION("""COMPUTED_VALUE"""),"MUF")</f>
        <v>MUF</v>
      </c>
      <c r="G18" s="5" t="str">
        <f>IFERROR(__xludf.DUMMYFUNCTION("""COMPUTED_VALUE"""),"×欠場")</f>
        <v>×欠場</v>
      </c>
      <c r="H18" s="5"/>
      <c r="I18" s="5" t="str">
        <f>IFERROR(__xludf.DUMMYFUNCTION("""COMPUTED_VALUE"""),"×参加しない")</f>
        <v>×参加しない</v>
      </c>
      <c r="J18" s="5"/>
      <c r="K18" s="12">
        <f t="shared" si="2"/>
        <v>1</v>
      </c>
      <c r="M18" s="5"/>
      <c r="N18" s="2"/>
      <c r="O18" s="4"/>
      <c r="P18" s="2"/>
      <c r="Q18" s="3"/>
      <c r="R18" s="3"/>
      <c r="S18" s="3"/>
      <c r="T18" s="3"/>
      <c r="U18" s="4"/>
    </row>
    <row r="19" ht="19.5" customHeight="1">
      <c r="A19" s="5">
        <f>IFERROR(__xludf.DUMMYFUNCTION("""COMPUTED_VALUE"""),340106.0)</f>
        <v>340106</v>
      </c>
      <c r="B19" s="5" t="str">
        <f>IFERROR(__xludf.DUMMYFUNCTION("""COMPUTED_VALUE"""),"荒井湊人")</f>
        <v>荒井湊人</v>
      </c>
      <c r="C19" s="5" t="str">
        <f>IFERROR(__xludf.DUMMYFUNCTION("""COMPUTED_VALUE"""),"あらいみなと")</f>
        <v>あらいみなと</v>
      </c>
      <c r="D19" s="5">
        <f>IFERROR(__xludf.DUMMYFUNCTION("""COMPUTED_VALUE"""),1.0)</f>
        <v>1</v>
      </c>
      <c r="E19" s="5" t="str">
        <f>IFERROR(__xludf.DUMMYFUNCTION("""COMPUTED_VALUE"""),"男")</f>
        <v>男</v>
      </c>
      <c r="F19" s="5" t="str">
        <f>IFERROR(__xludf.DUMMYFUNCTION("""COMPUTED_VALUE"""),"×欠場")</f>
        <v>×欠場</v>
      </c>
      <c r="G19" s="5" t="str">
        <f>IFERROR(__xludf.DUMMYFUNCTION("""COMPUTED_VALUE"""),"×欠場")</f>
        <v>×欠場</v>
      </c>
      <c r="H19" s="5"/>
      <c r="I19" s="5" t="str">
        <f>IFERROR(__xludf.DUMMYFUNCTION("""COMPUTED_VALUE"""),"×参加しない")</f>
        <v>×参加しない</v>
      </c>
      <c r="J19" s="5"/>
      <c r="K19" s="12">
        <f t="shared" si="2"/>
        <v>0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>
        <f>IFERROR(__xludf.DUMMYFUNCTION("""COMPUTED_VALUE"""),240102.0)</f>
        <v>240102</v>
      </c>
      <c r="B20" s="5" t="str">
        <f>IFERROR(__xludf.DUMMYFUNCTION("""COMPUTED_VALUE"""),"田沼凜")</f>
        <v>田沼凜</v>
      </c>
      <c r="C20" s="5" t="str">
        <f>IFERROR(__xludf.DUMMYFUNCTION("""COMPUTED_VALUE"""),"たぬまりん")</f>
        <v>たぬまりん</v>
      </c>
      <c r="D20" s="5">
        <f>IFERROR(__xludf.DUMMYFUNCTION("""COMPUTED_VALUE"""),2.0)</f>
        <v>2</v>
      </c>
      <c r="E20" s="5" t="str">
        <f>IFERROR(__xludf.DUMMYFUNCTION("""COMPUTED_VALUE"""),"男")</f>
        <v>男</v>
      </c>
      <c r="F20" s="5" t="str">
        <f>IFERROR(__xludf.DUMMYFUNCTION("""COMPUTED_VALUE"""),"MUA")</f>
        <v>MUA</v>
      </c>
      <c r="G20" s="5" t="str">
        <f>IFERROR(__xludf.DUMMYFUNCTION("""COMPUTED_VALUE"""),"×欠場")</f>
        <v>×欠場</v>
      </c>
      <c r="H20" s="5"/>
      <c r="I20" s="5" t="str">
        <f>IFERROR(__xludf.DUMMYFUNCTION("""COMPUTED_VALUE"""),"×参加しない")</f>
        <v>×参加しない</v>
      </c>
      <c r="J20" s="5"/>
      <c r="K20" s="12">
        <f t="shared" si="2"/>
        <v>1</v>
      </c>
    </row>
    <row r="21" ht="19.5" customHeight="1">
      <c r="A21" s="5">
        <f>IFERROR(__xludf.DUMMYFUNCTION("""COMPUTED_VALUE"""),240109.0)</f>
        <v>240109</v>
      </c>
      <c r="B21" s="5" t="str">
        <f>IFERROR(__xludf.DUMMYFUNCTION("""COMPUTED_VALUE"""),"川出晃大")</f>
        <v>川出晃大</v>
      </c>
      <c r="C21" s="5" t="str">
        <f>IFERROR(__xludf.DUMMYFUNCTION("""COMPUTED_VALUE"""),"かわであきひろ")</f>
        <v>かわであきひろ</v>
      </c>
      <c r="D21" s="5">
        <f>IFERROR(__xludf.DUMMYFUNCTION("""COMPUTED_VALUE"""),2.0)</f>
        <v>2</v>
      </c>
      <c r="E21" s="5" t="str">
        <f>IFERROR(__xludf.DUMMYFUNCTION("""COMPUTED_VALUE"""),"男")</f>
        <v>男</v>
      </c>
      <c r="F21" s="5" t="str">
        <f>IFERROR(__xludf.DUMMYFUNCTION("""COMPUTED_VALUE"""),"MUA")</f>
        <v>MUA</v>
      </c>
      <c r="G21" s="5" t="str">
        <f>IFERROR(__xludf.DUMMYFUNCTION("""COMPUTED_VALUE"""),"○出場")</f>
        <v>○出場</v>
      </c>
      <c r="H21" s="5">
        <f>IFERROR(__xludf.DUMMYFUNCTION("""COMPUTED_VALUE"""),519059.0)</f>
        <v>519059</v>
      </c>
      <c r="I21" s="5" t="str">
        <f>IFERROR(__xludf.DUMMYFUNCTION("""COMPUTED_VALUE"""),"×参加しない")</f>
        <v>×参加しない</v>
      </c>
      <c r="J21" s="5"/>
      <c r="K21" s="12">
        <f t="shared" si="2"/>
        <v>1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>
        <f>IFERROR(__xludf.DUMMYFUNCTION("""COMPUTED_VALUE"""),140102.0)</f>
        <v>140102</v>
      </c>
      <c r="B22" s="5" t="str">
        <f>IFERROR(__xludf.DUMMYFUNCTION("""COMPUTED_VALUE"""),"対馬立也")</f>
        <v>対馬立也</v>
      </c>
      <c r="C22" s="5" t="str">
        <f>IFERROR(__xludf.DUMMYFUNCTION("""COMPUTED_VALUE"""),"つしまたつや")</f>
        <v>つしまたつや</v>
      </c>
      <c r="D22" s="5">
        <f>IFERROR(__xludf.DUMMYFUNCTION("""COMPUTED_VALUE"""),3.0)</f>
        <v>3</v>
      </c>
      <c r="E22" s="5" t="str">
        <f>IFERROR(__xludf.DUMMYFUNCTION("""COMPUTED_VALUE"""),"男")</f>
        <v>男</v>
      </c>
      <c r="F22" s="5" t="str">
        <f>IFERROR(__xludf.DUMMYFUNCTION("""COMPUTED_VALUE"""),"MUA")</f>
        <v>MUA</v>
      </c>
      <c r="G22" s="5" t="str">
        <f>IFERROR(__xludf.DUMMYFUNCTION("""COMPUTED_VALUE"""),"×欠場")</f>
        <v>×欠場</v>
      </c>
      <c r="H22" s="5"/>
      <c r="I22" s="5" t="str">
        <f>IFERROR(__xludf.DUMMYFUNCTION("""COMPUTED_VALUE"""),"×参加しない")</f>
        <v>×参加しない</v>
      </c>
      <c r="J22" s="5"/>
      <c r="K22" s="12">
        <f t="shared" si="2"/>
        <v>1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>
        <f>IFERROR(__xludf.DUMMYFUNCTION("""COMPUTED_VALUE"""),140103.0)</f>
        <v>140103</v>
      </c>
      <c r="B23" s="5" t="str">
        <f>IFERROR(__xludf.DUMMYFUNCTION("""COMPUTED_VALUE"""),"井上太陽")</f>
        <v>井上太陽</v>
      </c>
      <c r="C23" s="5" t="str">
        <f>IFERROR(__xludf.DUMMYFUNCTION("""COMPUTED_VALUE"""),"いのうえたいよう")</f>
        <v>いのうえたいよう</v>
      </c>
      <c r="D23" s="5">
        <f>IFERROR(__xludf.DUMMYFUNCTION("""COMPUTED_VALUE"""),3.0)</f>
        <v>3</v>
      </c>
      <c r="E23" s="5" t="str">
        <f>IFERROR(__xludf.DUMMYFUNCTION("""COMPUTED_VALUE"""),"男")</f>
        <v>男</v>
      </c>
      <c r="F23" s="5" t="str">
        <f>IFERROR(__xludf.DUMMYFUNCTION("""COMPUTED_VALUE"""),"MUA")</f>
        <v>MUA</v>
      </c>
      <c r="G23" s="5" t="str">
        <f>IFERROR(__xludf.DUMMYFUNCTION("""COMPUTED_VALUE"""),"○出場")</f>
        <v>○出場</v>
      </c>
      <c r="H23" s="5">
        <f>IFERROR(__xludf.DUMMYFUNCTION("""COMPUTED_VALUE"""),259777.0)</f>
        <v>259777</v>
      </c>
      <c r="I23" s="5" t="str">
        <f>IFERROR(__xludf.DUMMYFUNCTION("""COMPUTED_VALUE"""),"×参加しない")</f>
        <v>×参加しない</v>
      </c>
      <c r="J23" s="5"/>
      <c r="K23" s="12">
        <f t="shared" si="2"/>
        <v>1</v>
      </c>
      <c r="M23" s="2"/>
      <c r="N23" s="4"/>
      <c r="O23" s="2"/>
      <c r="P23" s="3"/>
      <c r="Q23" s="5"/>
      <c r="R23" s="2"/>
      <c r="S23" s="4"/>
      <c r="T23" s="14"/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>
        <f>IFERROR(__xludf.DUMMYFUNCTION("""COMPUTED_VALUE"""),140105.0)</f>
        <v>140105</v>
      </c>
      <c r="B24" s="5" t="str">
        <f>IFERROR(__xludf.DUMMYFUNCTION("""COMPUTED_VALUE"""),"水谷悠人")</f>
        <v>水谷悠人</v>
      </c>
      <c r="C24" s="5" t="str">
        <f>IFERROR(__xludf.DUMMYFUNCTION("""COMPUTED_VALUE"""),"みずたにゆうと")</f>
        <v>みずたにゆうと</v>
      </c>
      <c r="D24" s="5">
        <f>IFERROR(__xludf.DUMMYFUNCTION("""COMPUTED_VALUE"""),3.0)</f>
        <v>3</v>
      </c>
      <c r="E24" s="5" t="str">
        <f>IFERROR(__xludf.DUMMYFUNCTION("""COMPUTED_VALUE"""),"男")</f>
        <v>男</v>
      </c>
      <c r="F24" s="5" t="str">
        <f>IFERROR(__xludf.DUMMYFUNCTION("""COMPUTED_VALUE"""),"×欠場")</f>
        <v>×欠場</v>
      </c>
      <c r="G24" s="5" t="str">
        <f>IFERROR(__xludf.DUMMYFUNCTION("""COMPUTED_VALUE"""),"×欠場")</f>
        <v>×欠場</v>
      </c>
      <c r="H24" s="5"/>
      <c r="I24" s="5" t="str">
        <f>IFERROR(__xludf.DUMMYFUNCTION("""COMPUTED_VALUE"""),"×参加しない")</f>
        <v>×参加しない</v>
      </c>
      <c r="J24" s="5"/>
      <c r="K24" s="12">
        <f t="shared" si="2"/>
        <v>0</v>
      </c>
      <c r="M24" s="2"/>
      <c r="N24" s="4"/>
      <c r="O24" s="2"/>
      <c r="P24" s="3"/>
      <c r="Q24" s="5"/>
      <c r="R24" s="2"/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>
        <f>IFERROR(__xludf.DUMMYFUNCTION("""COMPUTED_VALUE"""),140106.0)</f>
        <v>140106</v>
      </c>
      <c r="B25" s="5" t="str">
        <f>IFERROR(__xludf.DUMMYFUNCTION("""COMPUTED_VALUE"""),"飯島浩平")</f>
        <v>飯島浩平</v>
      </c>
      <c r="C25" s="5" t="str">
        <f>IFERROR(__xludf.DUMMYFUNCTION("""COMPUTED_VALUE"""),"いいじまこうへい")</f>
        <v>いいじまこうへい</v>
      </c>
      <c r="D25" s="5">
        <f>IFERROR(__xludf.DUMMYFUNCTION("""COMPUTED_VALUE"""),3.0)</f>
        <v>3</v>
      </c>
      <c r="E25" s="5" t="str">
        <f>IFERROR(__xludf.DUMMYFUNCTION("""COMPUTED_VALUE"""),"男")</f>
        <v>男</v>
      </c>
      <c r="F25" s="5" t="str">
        <f>IFERROR(__xludf.DUMMYFUNCTION("""COMPUTED_VALUE"""),"MUA")</f>
        <v>MUA</v>
      </c>
      <c r="G25" s="5" t="str">
        <f>IFERROR(__xludf.DUMMYFUNCTION("""COMPUTED_VALUE"""),"○出場")</f>
        <v>○出場</v>
      </c>
      <c r="H25" s="5">
        <f>IFERROR(__xludf.DUMMYFUNCTION("""COMPUTED_VALUE"""),259760.0)</f>
        <v>259760</v>
      </c>
      <c r="I25" s="5" t="str">
        <f>IFERROR(__xludf.DUMMYFUNCTION("""COMPUTED_VALUE"""),"×参加しない")</f>
        <v>×参加しない</v>
      </c>
      <c r="J25" s="5"/>
      <c r="K25" s="12">
        <f t="shared" si="2"/>
        <v>1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>
        <f>IFERROR(__xludf.DUMMYFUNCTION("""COMPUTED_VALUE"""),140108.0)</f>
        <v>140108</v>
      </c>
      <c r="B26" s="5" t="str">
        <f>IFERROR(__xludf.DUMMYFUNCTION("""COMPUTED_VALUE"""),"鈴木悠馬")</f>
        <v>鈴木悠馬</v>
      </c>
      <c r="C26" s="5" t="str">
        <f>IFERROR(__xludf.DUMMYFUNCTION("""COMPUTED_VALUE"""),"すずきゆうま")</f>
        <v>すずきゆうま</v>
      </c>
      <c r="D26" s="5">
        <f>IFERROR(__xludf.DUMMYFUNCTION("""COMPUTED_VALUE"""),3.0)</f>
        <v>3</v>
      </c>
      <c r="E26" s="5" t="str">
        <f>IFERROR(__xludf.DUMMYFUNCTION("""COMPUTED_VALUE"""),"男")</f>
        <v>男</v>
      </c>
      <c r="F26" s="5" t="str">
        <f>IFERROR(__xludf.DUMMYFUNCTION("""COMPUTED_VALUE"""),"MUA")</f>
        <v>MUA</v>
      </c>
      <c r="G26" s="5" t="str">
        <f>IFERROR(__xludf.DUMMYFUNCTION("""COMPUTED_VALUE"""),"○出場")</f>
        <v>○出場</v>
      </c>
      <c r="H26" s="5">
        <f>IFERROR(__xludf.DUMMYFUNCTION("""COMPUTED_VALUE"""),519057.0)</f>
        <v>519057</v>
      </c>
      <c r="I26" s="5" t="str">
        <f>IFERROR(__xludf.DUMMYFUNCTION("""COMPUTED_VALUE"""),"×参加しない")</f>
        <v>×参加しない</v>
      </c>
      <c r="J26" s="5"/>
      <c r="K26" s="12">
        <f t="shared" si="2"/>
        <v>1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>
        <f>IFERROR(__xludf.DUMMYFUNCTION("""COMPUTED_VALUE"""),40102.0)</f>
        <v>40102</v>
      </c>
      <c r="B27" s="5" t="str">
        <f>IFERROR(__xludf.DUMMYFUNCTION("""COMPUTED_VALUE"""),"浅井蓮")</f>
        <v>浅井蓮</v>
      </c>
      <c r="C27" s="5" t="str">
        <f>IFERROR(__xludf.DUMMYFUNCTION("""COMPUTED_VALUE"""),"あさいれん")</f>
        <v>あさいれん</v>
      </c>
      <c r="D27" s="5">
        <f>IFERROR(__xludf.DUMMYFUNCTION("""COMPUTED_VALUE"""),4.0)</f>
        <v>4</v>
      </c>
      <c r="E27" s="5" t="str">
        <f>IFERROR(__xludf.DUMMYFUNCTION("""COMPUTED_VALUE"""),"男")</f>
        <v>男</v>
      </c>
      <c r="F27" s="5" t="str">
        <f>IFERROR(__xludf.DUMMYFUNCTION("""COMPUTED_VALUE"""),"×欠場")</f>
        <v>×欠場</v>
      </c>
      <c r="G27" s="5" t="str">
        <f>IFERROR(__xludf.DUMMYFUNCTION("""COMPUTED_VALUE"""),"×欠場")</f>
        <v>×欠場</v>
      </c>
      <c r="H27" s="5"/>
      <c r="I27" s="5" t="str">
        <f>IFERROR(__xludf.DUMMYFUNCTION("""COMPUTED_VALUE"""),"×参加しない")</f>
        <v>×参加しない</v>
      </c>
      <c r="J27" s="5"/>
      <c r="K27" s="12">
        <f t="shared" si="2"/>
        <v>0</v>
      </c>
    </row>
    <row r="28" ht="19.5" customHeight="1">
      <c r="A28" s="5">
        <f>IFERROR(__xludf.DUMMYFUNCTION("""COMPUTED_VALUE"""),40103.0)</f>
        <v>40103</v>
      </c>
      <c r="B28" s="5" t="str">
        <f>IFERROR(__xludf.DUMMYFUNCTION("""COMPUTED_VALUE"""),"池ヶ谷雄太")</f>
        <v>池ヶ谷雄太</v>
      </c>
      <c r="C28" s="5" t="str">
        <f>IFERROR(__xludf.DUMMYFUNCTION("""COMPUTED_VALUE"""),"いけがやゆうた")</f>
        <v>いけがやゆうた</v>
      </c>
      <c r="D28" s="5">
        <f>IFERROR(__xludf.DUMMYFUNCTION("""COMPUTED_VALUE"""),4.0)</f>
        <v>4</v>
      </c>
      <c r="E28" s="5" t="str">
        <f>IFERROR(__xludf.DUMMYFUNCTION("""COMPUTED_VALUE"""),"男")</f>
        <v>男</v>
      </c>
      <c r="F28" s="5" t="str">
        <f>IFERROR(__xludf.DUMMYFUNCTION("""COMPUTED_VALUE"""),"MUA")</f>
        <v>MUA</v>
      </c>
      <c r="G28" s="5" t="str">
        <f>IFERROR(__xludf.DUMMYFUNCTION("""COMPUTED_VALUE"""),"○出場")</f>
        <v>○出場</v>
      </c>
      <c r="H28" s="5">
        <f>IFERROR(__xludf.DUMMYFUNCTION("""COMPUTED_VALUE"""),259776.0)</f>
        <v>259776</v>
      </c>
      <c r="I28" s="5" t="str">
        <f>IFERROR(__xludf.DUMMYFUNCTION("""COMPUTED_VALUE"""),"×参加しない")</f>
        <v>×参加しない</v>
      </c>
      <c r="J28" s="5"/>
      <c r="K28" s="12">
        <f t="shared" si="2"/>
        <v>1</v>
      </c>
    </row>
    <row r="29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12">
        <f t="shared" si="2"/>
        <v>0</v>
      </c>
    </row>
    <row r="3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12">
        <f t="shared" si="2"/>
        <v>0</v>
      </c>
    </row>
    <row r="31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12">
        <f t="shared" si="2"/>
        <v>0</v>
      </c>
    </row>
    <row r="32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12">
        <f t="shared" si="2"/>
        <v>0</v>
      </c>
    </row>
    <row r="33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12">
        <f t="shared" si="2"/>
        <v>0</v>
      </c>
    </row>
    <row r="34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12">
        <f t="shared" si="2"/>
        <v>0</v>
      </c>
    </row>
    <row r="3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12">
        <f t="shared" si="2"/>
        <v>0</v>
      </c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12">
        <f t="shared" si="2"/>
        <v>0</v>
      </c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12">
        <f t="shared" si="2"/>
        <v>0</v>
      </c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12">
        <f t="shared" si="2"/>
        <v>0</v>
      </c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12">
        <f t="shared" si="2"/>
        <v>0</v>
      </c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12">
        <f t="shared" si="2"/>
        <v>0</v>
      </c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12">
        <f t="shared" si="2"/>
        <v>0</v>
      </c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12">
        <f t="shared" si="2"/>
        <v>0</v>
      </c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12">
        <f t="shared" si="2"/>
        <v>0</v>
      </c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12">
        <f t="shared" si="2"/>
        <v>0</v>
      </c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2">
        <f t="shared" si="2"/>
        <v>0</v>
      </c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2">
        <f t="shared" si="2"/>
        <v>0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25:N25"/>
    <mergeCell ref="O25:P25"/>
    <mergeCell ref="M26:N26"/>
    <mergeCell ref="O26:P26"/>
    <mergeCell ref="P19:U19"/>
    <mergeCell ref="M21:U21"/>
    <mergeCell ref="M12:U12"/>
    <mergeCell ref="M16:U16"/>
    <mergeCell ref="N17:O17"/>
    <mergeCell ref="P17:U17"/>
    <mergeCell ref="N18:O18"/>
    <mergeCell ref="P18:U18"/>
    <mergeCell ref="N19:O19"/>
    <mergeCell ref="M22:N22"/>
    <mergeCell ref="O22:P22"/>
    <mergeCell ref="T22:U22"/>
    <mergeCell ref="M23:N23"/>
    <mergeCell ref="O23:P23"/>
    <mergeCell ref="R22:S22"/>
    <mergeCell ref="R23:S23"/>
    <mergeCell ref="R24:S24"/>
    <mergeCell ref="R25:S25"/>
    <mergeCell ref="R26:S26"/>
    <mergeCell ref="M24:N24"/>
    <mergeCell ref="O24:P24"/>
  </mergeCells>
  <printOptions/>
  <pageMargins bottom="0.75" footer="0.0" header="0.0" left="0.7" right="0.7" top="0.75"/>
  <pageSetup orientation="landscape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1485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30</v>
      </c>
      <c r="E4" s="7">
        <f t="shared" ref="E4:E8" si="1">C4*D4</f>
        <v>255000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4</v>
      </c>
      <c r="E5" s="7">
        <f t="shared" si="1"/>
        <v>32000</v>
      </c>
    </row>
    <row r="6" ht="19.5" customHeight="1">
      <c r="A6" s="2" t="s">
        <v>9</v>
      </c>
      <c r="B6" s="4"/>
      <c r="C6" s="7">
        <v>32700.0</v>
      </c>
      <c r="D6" s="5">
        <f>D4+D5</f>
        <v>34</v>
      </c>
      <c r="E6" s="7">
        <f t="shared" si="1"/>
        <v>1111800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2</v>
      </c>
      <c r="E7" s="7">
        <f t="shared" si="1"/>
        <v>9000</v>
      </c>
    </row>
    <row r="8" ht="19.5" customHeight="1">
      <c r="A8" s="2" t="s">
        <v>11</v>
      </c>
      <c r="B8" s="4"/>
      <c r="C8" s="7">
        <v>500.0</v>
      </c>
      <c r="D8" s="5">
        <f>D4-COUNT(H14:H201)</f>
        <v>8</v>
      </c>
      <c r="E8" s="7">
        <f t="shared" si="1"/>
        <v>4000</v>
      </c>
    </row>
    <row r="9" ht="19.5" customHeight="1">
      <c r="A9" s="9"/>
      <c r="B9" s="9"/>
      <c r="C9" s="9"/>
      <c r="D9" s="10" t="s">
        <v>5</v>
      </c>
      <c r="E9" s="11">
        <f>SUM(E4:E8)</f>
        <v>1411800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IFERROR(__xludf.DUMMYFUNCTION("FILTER('個人別エントリー'!C2:L1018,'個人別エントリー'!B2:B1018=A1)"),340201.0)</f>
        <v>340201</v>
      </c>
      <c r="B14" s="5" t="str">
        <f>IFERROR(__xludf.DUMMYFUNCTION("""COMPUTED_VALUE"""),"前川智彦")</f>
        <v>前川智彦</v>
      </c>
      <c r="C14" s="5" t="str">
        <f>IFERROR(__xludf.DUMMYFUNCTION("""COMPUTED_VALUE"""),"まえかわともひこ")</f>
        <v>まえかわともひこ</v>
      </c>
      <c r="D14" s="5">
        <f>IFERROR(__xludf.DUMMYFUNCTION("""COMPUTED_VALUE"""),1.0)</f>
        <v>1</v>
      </c>
      <c r="E14" s="5" t="str">
        <f>IFERROR(__xludf.DUMMYFUNCTION("""COMPUTED_VALUE"""),"男")</f>
        <v>男</v>
      </c>
      <c r="F14" s="5" t="str">
        <f>IFERROR(__xludf.DUMMYFUNCTION("""COMPUTED_VALUE"""),"×欠場")</f>
        <v>×欠場</v>
      </c>
      <c r="G14" s="5" t="str">
        <f>IFERROR(__xludf.DUMMYFUNCTION("""COMPUTED_VALUE"""),"×欠場")</f>
        <v>×欠場</v>
      </c>
      <c r="H14" s="5"/>
      <c r="I14" s="5" t="str">
        <f>IFERROR(__xludf.DUMMYFUNCTION("""COMPUTED_VALUE"""),"×参加しない")</f>
        <v>×参加しない</v>
      </c>
      <c r="J14" s="5"/>
      <c r="K14" s="12">
        <f t="shared" ref="K14:K201" si="2">IF(AND(OR(F14="×欠場",F14=""),OR(G14="×欠場",G14="")),0,1)</f>
        <v>0</v>
      </c>
      <c r="M14" s="5" t="str">
        <f>IFERROR(__xludf.DUMMYFUNCTION("FILTER('リレー内容'!$C$2:$K$51,'リレー内容'!$B$2:$B$51=A1)"),"○出場")</f>
        <v>○出場</v>
      </c>
      <c r="N14" s="5" t="str">
        <f>IFERROR(__xludf.DUMMYFUNCTION("""COMPUTED_VALUE"""),"○出場")</f>
        <v>○出場</v>
      </c>
      <c r="O14" s="5">
        <f>IFERROR(__xludf.DUMMYFUNCTION("""COMPUTED_VALUE"""),5.0)</f>
        <v>5</v>
      </c>
      <c r="P14" s="5">
        <f>IFERROR(__xludf.DUMMYFUNCTION("""COMPUTED_VALUE"""),0.0)</f>
        <v>0</v>
      </c>
      <c r="Q14" s="5">
        <f>IFERROR(__xludf.DUMMYFUNCTION("""COMPUTED_VALUE"""),0.0)</f>
        <v>0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IFERROR(__xludf.DUMMYFUNCTION("""COMPUTED_VALUE"""),340202.0)</f>
        <v>340202</v>
      </c>
      <c r="B15" s="5" t="str">
        <f>IFERROR(__xludf.DUMMYFUNCTION("""COMPUTED_VALUE"""),"水野伶哉")</f>
        <v>水野伶哉</v>
      </c>
      <c r="C15" s="5" t="str">
        <f>IFERROR(__xludf.DUMMYFUNCTION("""COMPUTED_VALUE"""),"みずのりょうや")</f>
        <v>みずのりょうや</v>
      </c>
      <c r="D15" s="5">
        <f>IFERROR(__xludf.DUMMYFUNCTION("""COMPUTED_VALUE"""),1.0)</f>
        <v>1</v>
      </c>
      <c r="E15" s="5" t="str">
        <f>IFERROR(__xludf.DUMMYFUNCTION("""COMPUTED_VALUE"""),"男")</f>
        <v>男</v>
      </c>
      <c r="F15" s="5" t="str">
        <f>IFERROR(__xludf.DUMMYFUNCTION("""COMPUTED_VALUE"""),"×欠場")</f>
        <v>×欠場</v>
      </c>
      <c r="G15" s="5" t="str">
        <f>IFERROR(__xludf.DUMMYFUNCTION("""COMPUTED_VALUE"""),"×欠場")</f>
        <v>×欠場</v>
      </c>
      <c r="H15" s="5"/>
      <c r="I15" s="5" t="str">
        <f>IFERROR(__xludf.DUMMYFUNCTION("""COMPUTED_VALUE"""),"×参加しない")</f>
        <v>×参加しない</v>
      </c>
      <c r="J15" s="5"/>
      <c r="K15" s="12">
        <f t="shared" si="2"/>
        <v>0</v>
      </c>
    </row>
    <row r="16" ht="19.5" customHeight="1">
      <c r="A16" s="5">
        <f>IFERROR(__xludf.DUMMYFUNCTION("""COMPUTED_VALUE"""),340203.0)</f>
        <v>340203</v>
      </c>
      <c r="B16" s="5" t="str">
        <f>IFERROR(__xludf.DUMMYFUNCTION("""COMPUTED_VALUE"""),"寺本裕哉")</f>
        <v>寺本裕哉</v>
      </c>
      <c r="C16" s="5" t="str">
        <f>IFERROR(__xludf.DUMMYFUNCTION("""COMPUTED_VALUE"""),"てらもとゆうや")</f>
        <v>てらもとゆうや</v>
      </c>
      <c r="D16" s="5">
        <f>IFERROR(__xludf.DUMMYFUNCTION("""COMPUTED_VALUE"""),1.0)</f>
        <v>1</v>
      </c>
      <c r="E16" s="5" t="str">
        <f>IFERROR(__xludf.DUMMYFUNCTION("""COMPUTED_VALUE"""),"男")</f>
        <v>男</v>
      </c>
      <c r="F16" s="5" t="str">
        <f>IFERROR(__xludf.DUMMYFUNCTION("""COMPUTED_VALUE"""),"MUF")</f>
        <v>MUF</v>
      </c>
      <c r="G16" s="5" t="str">
        <f>IFERROR(__xludf.DUMMYFUNCTION("""COMPUTED_VALUE"""),"○出場")</f>
        <v>○出場</v>
      </c>
      <c r="H16" s="5">
        <f>IFERROR(__xludf.DUMMYFUNCTION("""COMPUTED_VALUE"""),530306.0)</f>
        <v>530306</v>
      </c>
      <c r="I16" s="5" t="str">
        <f>IFERROR(__xludf.DUMMYFUNCTION("""COMPUTED_VALUE"""),"×参加しない")</f>
        <v>×参加しない</v>
      </c>
      <c r="J16" s="5"/>
      <c r="K16" s="12">
        <f t="shared" si="2"/>
        <v>1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>
        <f>IFERROR(__xludf.DUMMYFUNCTION("""COMPUTED_VALUE"""),340204.0)</f>
        <v>340204</v>
      </c>
      <c r="B17" s="5" t="str">
        <f>IFERROR(__xludf.DUMMYFUNCTION("""COMPUTED_VALUE"""),"岩淵陽平")</f>
        <v>岩淵陽平</v>
      </c>
      <c r="C17" s="5" t="str">
        <f>IFERROR(__xludf.DUMMYFUNCTION("""COMPUTED_VALUE"""),"いわぶちようへい")</f>
        <v>いわぶちようへい</v>
      </c>
      <c r="D17" s="5">
        <f>IFERROR(__xludf.DUMMYFUNCTION("""COMPUTED_VALUE"""),1.0)</f>
        <v>1</v>
      </c>
      <c r="E17" s="5" t="str">
        <f>IFERROR(__xludf.DUMMYFUNCTION("""COMPUTED_VALUE"""),"男")</f>
        <v>男</v>
      </c>
      <c r="F17" s="5" t="str">
        <f>IFERROR(__xludf.DUMMYFUNCTION("""COMPUTED_VALUE"""),"×欠場")</f>
        <v>×欠場</v>
      </c>
      <c r="G17" s="5" t="str">
        <f>IFERROR(__xludf.DUMMYFUNCTION("""COMPUTED_VALUE"""),"×欠場")</f>
        <v>×欠場</v>
      </c>
      <c r="H17" s="5"/>
      <c r="I17" s="5" t="str">
        <f>IFERROR(__xludf.DUMMYFUNCTION("""COMPUTED_VALUE"""),"×参加しない")</f>
        <v>×参加しない</v>
      </c>
      <c r="J17" s="5"/>
      <c r="K17" s="12">
        <f t="shared" si="2"/>
        <v>0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>
        <f>IFERROR(__xludf.DUMMYFUNCTION("""COMPUTED_VALUE"""),340205.0)</f>
        <v>340205</v>
      </c>
      <c r="B18" s="5" t="str">
        <f>IFERROR(__xludf.DUMMYFUNCTION("""COMPUTED_VALUE"""),"笠木雄介")</f>
        <v>笠木雄介</v>
      </c>
      <c r="C18" s="5" t="str">
        <f>IFERROR(__xludf.DUMMYFUNCTION("""COMPUTED_VALUE"""),"かさぎゆうすけ")</f>
        <v>かさぎゆうすけ</v>
      </c>
      <c r="D18" s="5">
        <f>IFERROR(__xludf.DUMMYFUNCTION("""COMPUTED_VALUE"""),1.0)</f>
        <v>1</v>
      </c>
      <c r="E18" s="5" t="str">
        <f>IFERROR(__xludf.DUMMYFUNCTION("""COMPUTED_VALUE"""),"男")</f>
        <v>男</v>
      </c>
      <c r="F18" s="5" t="str">
        <f>IFERROR(__xludf.DUMMYFUNCTION("""COMPUTED_VALUE"""),"×欠場")</f>
        <v>×欠場</v>
      </c>
      <c r="G18" s="5" t="str">
        <f>IFERROR(__xludf.DUMMYFUNCTION("""COMPUTED_VALUE"""),"×欠場")</f>
        <v>×欠場</v>
      </c>
      <c r="H18" s="5"/>
      <c r="I18" s="5" t="str">
        <f>IFERROR(__xludf.DUMMYFUNCTION("""COMPUTED_VALUE"""),"×参加しない")</f>
        <v>×参加しない</v>
      </c>
      <c r="J18" s="5"/>
      <c r="K18" s="12">
        <f t="shared" si="2"/>
        <v>0</v>
      </c>
      <c r="M18" s="5"/>
      <c r="N18" s="2"/>
      <c r="O18" s="4"/>
      <c r="P18" s="2"/>
      <c r="Q18" s="3"/>
      <c r="R18" s="3"/>
      <c r="S18" s="3"/>
      <c r="T18" s="3"/>
      <c r="U18" s="4"/>
    </row>
    <row r="19" ht="19.5" customHeight="1">
      <c r="A19" s="5">
        <f>IFERROR(__xludf.DUMMYFUNCTION("""COMPUTED_VALUE"""),340206.0)</f>
        <v>340206</v>
      </c>
      <c r="B19" s="5" t="str">
        <f>IFERROR(__xludf.DUMMYFUNCTION("""COMPUTED_VALUE"""),"高野翔")</f>
        <v>高野翔</v>
      </c>
      <c r="C19" s="5" t="str">
        <f>IFERROR(__xludf.DUMMYFUNCTION("""COMPUTED_VALUE"""),"たかのかける")</f>
        <v>たかのかける</v>
      </c>
      <c r="D19" s="5">
        <f>IFERROR(__xludf.DUMMYFUNCTION("""COMPUTED_VALUE"""),1.0)</f>
        <v>1</v>
      </c>
      <c r="E19" s="5" t="str">
        <f>IFERROR(__xludf.DUMMYFUNCTION("""COMPUTED_VALUE"""),"男")</f>
        <v>男</v>
      </c>
      <c r="F19" s="5" t="str">
        <f>IFERROR(__xludf.DUMMYFUNCTION("""COMPUTED_VALUE"""),"MUF")</f>
        <v>MUF</v>
      </c>
      <c r="G19" s="5" t="str">
        <f>IFERROR(__xludf.DUMMYFUNCTION("""COMPUTED_VALUE"""),"○出場")</f>
        <v>○出場</v>
      </c>
      <c r="H19" s="5">
        <f>IFERROR(__xludf.DUMMYFUNCTION("""COMPUTED_VALUE"""),530308.0)</f>
        <v>530308</v>
      </c>
      <c r="I19" s="5" t="str">
        <f>IFERROR(__xludf.DUMMYFUNCTION("""COMPUTED_VALUE"""),"×参加しない")</f>
        <v>×参加しない</v>
      </c>
      <c r="J19" s="5"/>
      <c r="K19" s="12">
        <f t="shared" si="2"/>
        <v>1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>
        <f>IFERROR(__xludf.DUMMYFUNCTION("""COMPUTED_VALUE"""),340207.0)</f>
        <v>340207</v>
      </c>
      <c r="B20" s="5" t="str">
        <f>IFERROR(__xludf.DUMMYFUNCTION("""COMPUTED_VALUE"""),"山田拓歩")</f>
        <v>山田拓歩</v>
      </c>
      <c r="C20" s="5" t="str">
        <f>IFERROR(__xludf.DUMMYFUNCTION("""COMPUTED_VALUE"""),"やまだたくほ")</f>
        <v>やまだたくほ</v>
      </c>
      <c r="D20" s="5">
        <f>IFERROR(__xludf.DUMMYFUNCTION("""COMPUTED_VALUE"""),1.0)</f>
        <v>1</v>
      </c>
      <c r="E20" s="5" t="str">
        <f>IFERROR(__xludf.DUMMYFUNCTION("""COMPUTED_VALUE"""),"男")</f>
        <v>男</v>
      </c>
      <c r="F20" s="5" t="str">
        <f>IFERROR(__xludf.DUMMYFUNCTION("""COMPUTED_VALUE"""),"×欠場")</f>
        <v>×欠場</v>
      </c>
      <c r="G20" s="5" t="str">
        <f>IFERROR(__xludf.DUMMYFUNCTION("""COMPUTED_VALUE"""),"×欠場")</f>
        <v>×欠場</v>
      </c>
      <c r="H20" s="5"/>
      <c r="I20" s="5" t="str">
        <f>IFERROR(__xludf.DUMMYFUNCTION("""COMPUTED_VALUE"""),"×参加しない")</f>
        <v>×参加しない</v>
      </c>
      <c r="J20" s="5"/>
      <c r="K20" s="12">
        <f t="shared" si="2"/>
        <v>0</v>
      </c>
    </row>
    <row r="21" ht="19.5" customHeight="1">
      <c r="A21" s="5">
        <f>IFERROR(__xludf.DUMMYFUNCTION("""COMPUTED_VALUE"""),340208.0)</f>
        <v>340208</v>
      </c>
      <c r="B21" s="5" t="str">
        <f>IFERROR(__xludf.DUMMYFUNCTION("""COMPUTED_VALUE"""),"山口俊輔")</f>
        <v>山口俊輔</v>
      </c>
      <c r="C21" s="5" t="str">
        <f>IFERROR(__xludf.DUMMYFUNCTION("""COMPUTED_VALUE"""),"やまぐちしゅんすけ")</f>
        <v>やまぐちしゅんすけ</v>
      </c>
      <c r="D21" s="5">
        <f>IFERROR(__xludf.DUMMYFUNCTION("""COMPUTED_VALUE"""),1.0)</f>
        <v>1</v>
      </c>
      <c r="E21" s="5" t="str">
        <f>IFERROR(__xludf.DUMMYFUNCTION("""COMPUTED_VALUE"""),"男")</f>
        <v>男</v>
      </c>
      <c r="F21" s="5" t="str">
        <f>IFERROR(__xludf.DUMMYFUNCTION("""COMPUTED_VALUE"""),"×欠場")</f>
        <v>×欠場</v>
      </c>
      <c r="G21" s="5" t="str">
        <f>IFERROR(__xludf.DUMMYFUNCTION("""COMPUTED_VALUE"""),"×欠場")</f>
        <v>×欠場</v>
      </c>
      <c r="H21" s="5"/>
      <c r="I21" s="5" t="str">
        <f>IFERROR(__xludf.DUMMYFUNCTION("""COMPUTED_VALUE"""),"×参加しない")</f>
        <v>×参加しない</v>
      </c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>
        <f>IFERROR(__xludf.DUMMYFUNCTION("""COMPUTED_VALUE"""),340209.0)</f>
        <v>340209</v>
      </c>
      <c r="B22" s="5" t="str">
        <f>IFERROR(__xludf.DUMMYFUNCTION("""COMPUTED_VALUE"""),"大野尊琉")</f>
        <v>大野尊琉</v>
      </c>
      <c r="C22" s="5" t="str">
        <f>IFERROR(__xludf.DUMMYFUNCTION("""COMPUTED_VALUE"""),"おおのたける")</f>
        <v>おおのたける</v>
      </c>
      <c r="D22" s="5">
        <f>IFERROR(__xludf.DUMMYFUNCTION("""COMPUTED_VALUE"""),1.0)</f>
        <v>1</v>
      </c>
      <c r="E22" s="5" t="str">
        <f>IFERROR(__xludf.DUMMYFUNCTION("""COMPUTED_VALUE"""),"男")</f>
        <v>男</v>
      </c>
      <c r="F22" s="5" t="str">
        <f>IFERROR(__xludf.DUMMYFUNCTION("""COMPUTED_VALUE"""),"×欠場")</f>
        <v>×欠場</v>
      </c>
      <c r="G22" s="5" t="str">
        <f>IFERROR(__xludf.DUMMYFUNCTION("""COMPUTED_VALUE"""),"×欠場")</f>
        <v>×欠場</v>
      </c>
      <c r="H22" s="5"/>
      <c r="I22" s="5" t="str">
        <f>IFERROR(__xludf.DUMMYFUNCTION("""COMPUTED_VALUE"""),"×参加しない")</f>
        <v>×参加しない</v>
      </c>
      <c r="J22" s="5"/>
      <c r="K22" s="12">
        <f t="shared" si="2"/>
        <v>0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>
        <f>IFERROR(__xludf.DUMMYFUNCTION("""COMPUTED_VALUE"""),340210.0)</f>
        <v>340210</v>
      </c>
      <c r="B23" s="5" t="str">
        <f>IFERROR(__xludf.DUMMYFUNCTION("""COMPUTED_VALUE"""),"宇野和輝")</f>
        <v>宇野和輝</v>
      </c>
      <c r="C23" s="5" t="str">
        <f>IFERROR(__xludf.DUMMYFUNCTION("""COMPUTED_VALUE"""),"うのかずき")</f>
        <v>うのかずき</v>
      </c>
      <c r="D23" s="5">
        <f>IFERROR(__xludf.DUMMYFUNCTION("""COMPUTED_VALUE"""),1.0)</f>
        <v>1</v>
      </c>
      <c r="E23" s="5" t="str">
        <f>IFERROR(__xludf.DUMMYFUNCTION("""COMPUTED_VALUE"""),"男")</f>
        <v>男</v>
      </c>
      <c r="F23" s="5" t="str">
        <f>IFERROR(__xludf.DUMMYFUNCTION("""COMPUTED_VALUE"""),"×欠場")</f>
        <v>×欠場</v>
      </c>
      <c r="G23" s="5" t="str">
        <f>IFERROR(__xludf.DUMMYFUNCTION("""COMPUTED_VALUE"""),"×欠場")</f>
        <v>×欠場</v>
      </c>
      <c r="H23" s="5"/>
      <c r="I23" s="5" t="str">
        <f>IFERROR(__xludf.DUMMYFUNCTION("""COMPUTED_VALUE"""),"×参加しない")</f>
        <v>×参加しない</v>
      </c>
      <c r="J23" s="5"/>
      <c r="K23" s="12">
        <f t="shared" si="2"/>
        <v>0</v>
      </c>
      <c r="M23" s="2" t="str">
        <f>IFERROR(__xludf.DUMMYFUNCTION("FILTER('オフィシャル'!$B$2:$B$65,'オフィシャル'!$A$2:$A$65=A1)"),"粟生啓介")</f>
        <v>粟生啓介</v>
      </c>
      <c r="N23" s="4"/>
      <c r="O23" s="2" t="str">
        <f>IFERROR(__xludf.DUMMYFUNCTION("FILTER('オフィシャル'!$C$2:$C$65,'オフィシャル'!$A$2:$A$65=A1)"),"あおうけいすけ")</f>
        <v>あおうけいすけ</v>
      </c>
      <c r="P23" s="3"/>
      <c r="Q23" s="5" t="str">
        <f>IFERROR(__xludf.DUMMYFUNCTION("FILTER('オフィシャル'!$D$2:$D$65,'オフィシャル'!$A$2:$A$65=A1)"),"男")</f>
        <v>男</v>
      </c>
      <c r="R23" s="2" t="str">
        <f>IFERROR(__xludf.DUMMYFUNCTION("FILTER('オフィシャル'!$E$2:$E$65,'オフィシャル'!$A$2:$A$65=A1)"),"○する")</f>
        <v>○する</v>
      </c>
      <c r="S23" s="4"/>
      <c r="T23" s="14" t="str">
        <f>IFERROR(__xludf.DUMMYFUNCTION("FILTER('オフィシャル'!$F$2:$F$65,'オフィシャル'!$A$2:$A$65=A1)"),"")</f>
        <v/>
      </c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>
        <f>IFERROR(__xludf.DUMMYFUNCTION("""COMPUTED_VALUE"""),340211.0)</f>
        <v>340211</v>
      </c>
      <c r="B24" s="5" t="str">
        <f>IFERROR(__xludf.DUMMYFUNCTION("""COMPUTED_VALUE"""),"岩瀬城也")</f>
        <v>岩瀬城也</v>
      </c>
      <c r="C24" s="5" t="str">
        <f>IFERROR(__xludf.DUMMYFUNCTION("""COMPUTED_VALUE"""),"いわせじょうや")</f>
        <v>いわせじょうや</v>
      </c>
      <c r="D24" s="5">
        <f>IFERROR(__xludf.DUMMYFUNCTION("""COMPUTED_VALUE"""),1.0)</f>
        <v>1</v>
      </c>
      <c r="E24" s="5" t="str">
        <f>IFERROR(__xludf.DUMMYFUNCTION("""COMPUTED_VALUE"""),"男")</f>
        <v>男</v>
      </c>
      <c r="F24" s="5" t="str">
        <f>IFERROR(__xludf.DUMMYFUNCTION("""COMPUTED_VALUE"""),"×欠場")</f>
        <v>×欠場</v>
      </c>
      <c r="G24" s="5" t="str">
        <f>IFERROR(__xludf.DUMMYFUNCTION("""COMPUTED_VALUE"""),"×欠場")</f>
        <v>×欠場</v>
      </c>
      <c r="H24" s="5"/>
      <c r="I24" s="5" t="str">
        <f>IFERROR(__xludf.DUMMYFUNCTION("""COMPUTED_VALUE"""),"×参加しない")</f>
        <v>×参加しない</v>
      </c>
      <c r="J24" s="5"/>
      <c r="K24" s="12">
        <f t="shared" si="2"/>
        <v>0</v>
      </c>
      <c r="M24" s="2" t="str">
        <f>IFERROR(__xludf.DUMMYFUNCTION("""COMPUTED_VALUE"""),"櫻井千尋")</f>
        <v>櫻井千尋</v>
      </c>
      <c r="N24" s="4"/>
      <c r="O24" s="2" t="str">
        <f>IFERROR(__xludf.DUMMYFUNCTION("""COMPUTED_VALUE"""),"さくらいちひろ")</f>
        <v>さくらいちひろ</v>
      </c>
      <c r="P24" s="3"/>
      <c r="Q24" s="5" t="str">
        <f>IFERROR(__xludf.DUMMYFUNCTION("""COMPUTED_VALUE"""),"男")</f>
        <v>男</v>
      </c>
      <c r="R24" s="2" t="str">
        <f>IFERROR(__xludf.DUMMYFUNCTION("""COMPUTED_VALUE"""),"○する")</f>
        <v>○する</v>
      </c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>
        <f>IFERROR(__xludf.DUMMYFUNCTION("""COMPUTED_VALUE"""),340212.0)</f>
        <v>340212</v>
      </c>
      <c r="B25" s="5" t="str">
        <f>IFERROR(__xludf.DUMMYFUNCTION("""COMPUTED_VALUE"""),"都築心")</f>
        <v>都築心</v>
      </c>
      <c r="C25" s="5" t="str">
        <f>IFERROR(__xludf.DUMMYFUNCTION("""COMPUTED_VALUE"""),"つづきしん")</f>
        <v>つづきしん</v>
      </c>
      <c r="D25" s="5">
        <f>IFERROR(__xludf.DUMMYFUNCTION("""COMPUTED_VALUE"""),1.0)</f>
        <v>1</v>
      </c>
      <c r="E25" s="5" t="str">
        <f>IFERROR(__xludf.DUMMYFUNCTION("""COMPUTED_VALUE"""),"男")</f>
        <v>男</v>
      </c>
      <c r="F25" s="5" t="str">
        <f>IFERROR(__xludf.DUMMYFUNCTION("""COMPUTED_VALUE"""),"×欠場")</f>
        <v>×欠場</v>
      </c>
      <c r="G25" s="5" t="str">
        <f>IFERROR(__xludf.DUMMYFUNCTION("""COMPUTED_VALUE"""),"×欠場")</f>
        <v>×欠場</v>
      </c>
      <c r="H25" s="5"/>
      <c r="I25" s="5" t="str">
        <f>IFERROR(__xludf.DUMMYFUNCTION("""COMPUTED_VALUE"""),"×参加しない")</f>
        <v>×参加しない</v>
      </c>
      <c r="J25" s="5"/>
      <c r="K25" s="12">
        <f t="shared" si="2"/>
        <v>0</v>
      </c>
      <c r="M25" s="2" t="str">
        <f>IFERROR(__xludf.DUMMYFUNCTION("""COMPUTED_VALUE"""),"五十嵐羽奏")</f>
        <v>五十嵐羽奏</v>
      </c>
      <c r="N25" s="4"/>
      <c r="O25" s="2" t="str">
        <f>IFERROR(__xludf.DUMMYFUNCTION("""COMPUTED_VALUE"""),"いがらしわかな")</f>
        <v>いがらしわかな</v>
      </c>
      <c r="P25" s="3"/>
      <c r="Q25" s="19" t="str">
        <f>IFERROR(__xludf.DUMMYFUNCTION("""COMPUTED_VALUE"""),"女")</f>
        <v>女</v>
      </c>
      <c r="R25" s="2" t="str">
        <f>IFERROR(__xludf.DUMMYFUNCTION("""COMPUTED_VALUE"""),"○する")</f>
        <v>○する</v>
      </c>
      <c r="S25" s="4"/>
      <c r="T25" s="20"/>
      <c r="U25" s="15"/>
    </row>
    <row r="26" ht="19.5" customHeight="1">
      <c r="A26" s="5">
        <f>IFERROR(__xludf.DUMMYFUNCTION("""COMPUTED_VALUE"""),340213.0)</f>
        <v>340213</v>
      </c>
      <c r="B26" s="5" t="str">
        <f>IFERROR(__xludf.DUMMYFUNCTION("""COMPUTED_VALUE"""),"小出茉拓")</f>
        <v>小出茉拓</v>
      </c>
      <c r="C26" s="5" t="str">
        <f>IFERROR(__xludf.DUMMYFUNCTION("""COMPUTED_VALUE"""),"こいでまひろ")</f>
        <v>こいでまひろ</v>
      </c>
      <c r="D26" s="5">
        <f>IFERROR(__xludf.DUMMYFUNCTION("""COMPUTED_VALUE"""),1.0)</f>
        <v>1</v>
      </c>
      <c r="E26" s="5" t="str">
        <f>IFERROR(__xludf.DUMMYFUNCTION("""COMPUTED_VALUE"""),"男")</f>
        <v>男</v>
      </c>
      <c r="F26" s="5" t="str">
        <f>IFERROR(__xludf.DUMMYFUNCTION("""COMPUTED_VALUE"""),"×欠場")</f>
        <v>×欠場</v>
      </c>
      <c r="G26" s="5" t="str">
        <f>IFERROR(__xludf.DUMMYFUNCTION("""COMPUTED_VALUE"""),"×欠場")</f>
        <v>×欠場</v>
      </c>
      <c r="H26" s="5"/>
      <c r="I26" s="5" t="str">
        <f>IFERROR(__xludf.DUMMYFUNCTION("""COMPUTED_VALUE"""),"×参加しない")</f>
        <v>×参加しない</v>
      </c>
      <c r="J26" s="5"/>
      <c r="K26" s="12">
        <f t="shared" si="2"/>
        <v>0</v>
      </c>
      <c r="M26" s="2" t="str">
        <f>IFERROR(__xludf.DUMMYFUNCTION("""COMPUTED_VALUE"""),"近藤花保")</f>
        <v>近藤花保</v>
      </c>
      <c r="N26" s="4"/>
      <c r="O26" s="2" t="str">
        <f>IFERROR(__xludf.DUMMYFUNCTION("""COMPUTED_VALUE"""),"こんどうかほ")</f>
        <v>こんどうかほ</v>
      </c>
      <c r="P26" s="3"/>
      <c r="Q26" s="19" t="str">
        <f>IFERROR(__xludf.DUMMYFUNCTION("""COMPUTED_VALUE"""),"女")</f>
        <v>女</v>
      </c>
      <c r="R26" s="2" t="str">
        <f>IFERROR(__xludf.DUMMYFUNCTION("""COMPUTED_VALUE"""),"○する")</f>
        <v>○する</v>
      </c>
      <c r="S26" s="4"/>
      <c r="T26" s="20"/>
      <c r="U26" s="15"/>
    </row>
    <row r="27" ht="19.5" customHeight="1">
      <c r="A27" s="5">
        <f>IFERROR(__xludf.DUMMYFUNCTION("""COMPUTED_VALUE"""),340214.0)</f>
        <v>340214</v>
      </c>
      <c r="B27" s="5" t="str">
        <f>IFERROR(__xludf.DUMMYFUNCTION("""COMPUTED_VALUE"""),"後藤健太")</f>
        <v>後藤健太</v>
      </c>
      <c r="C27" s="5" t="str">
        <f>IFERROR(__xludf.DUMMYFUNCTION("""COMPUTED_VALUE"""),"ごとうけんた")</f>
        <v>ごとうけんた</v>
      </c>
      <c r="D27" s="5">
        <f>IFERROR(__xludf.DUMMYFUNCTION("""COMPUTED_VALUE"""),1.0)</f>
        <v>1</v>
      </c>
      <c r="E27" s="5" t="str">
        <f>IFERROR(__xludf.DUMMYFUNCTION("""COMPUTED_VALUE"""),"男")</f>
        <v>男</v>
      </c>
      <c r="F27" s="5" t="str">
        <f>IFERROR(__xludf.DUMMYFUNCTION("""COMPUTED_VALUE"""),"×欠場")</f>
        <v>×欠場</v>
      </c>
      <c r="G27" s="5" t="str">
        <f>IFERROR(__xludf.DUMMYFUNCTION("""COMPUTED_VALUE"""),"×欠場")</f>
        <v>×欠場</v>
      </c>
      <c r="H27" s="5"/>
      <c r="I27" s="5" t="str">
        <f>IFERROR(__xludf.DUMMYFUNCTION("""COMPUTED_VALUE"""),"×参加しない")</f>
        <v>×参加しない</v>
      </c>
      <c r="J27" s="5"/>
      <c r="K27" s="12">
        <f t="shared" si="2"/>
        <v>0</v>
      </c>
    </row>
    <row r="28" ht="19.5" customHeight="1">
      <c r="A28" s="5">
        <f>IFERROR(__xludf.DUMMYFUNCTION("""COMPUTED_VALUE"""),340215.0)</f>
        <v>340215</v>
      </c>
      <c r="B28" s="5" t="str">
        <f>IFERROR(__xludf.DUMMYFUNCTION("""COMPUTED_VALUE"""),"前川彰吾")</f>
        <v>前川彰吾</v>
      </c>
      <c r="C28" s="5" t="str">
        <f>IFERROR(__xludf.DUMMYFUNCTION("""COMPUTED_VALUE"""),"まえかわしょうご")</f>
        <v>まえかわしょうご</v>
      </c>
      <c r="D28" s="5">
        <f>IFERROR(__xludf.DUMMYFUNCTION("""COMPUTED_VALUE"""),1.0)</f>
        <v>1</v>
      </c>
      <c r="E28" s="5" t="str">
        <f>IFERROR(__xludf.DUMMYFUNCTION("""COMPUTED_VALUE"""),"男")</f>
        <v>男</v>
      </c>
      <c r="F28" s="5" t="str">
        <f>IFERROR(__xludf.DUMMYFUNCTION("""COMPUTED_VALUE"""),"MUF")</f>
        <v>MUF</v>
      </c>
      <c r="G28" s="5" t="str">
        <f>IFERROR(__xludf.DUMMYFUNCTION("""COMPUTED_VALUE"""),"○出場")</f>
        <v>○出場</v>
      </c>
      <c r="H28" s="5">
        <f>IFERROR(__xludf.DUMMYFUNCTION("""COMPUTED_VALUE"""),530319.0)</f>
        <v>530319</v>
      </c>
      <c r="I28" s="5" t="str">
        <f>IFERROR(__xludf.DUMMYFUNCTION("""COMPUTED_VALUE"""),"○参加する")</f>
        <v>○参加する</v>
      </c>
      <c r="J28" s="5"/>
      <c r="K28" s="12">
        <f t="shared" si="2"/>
        <v>1</v>
      </c>
    </row>
    <row r="29" ht="19.5" customHeight="1">
      <c r="A29" s="5">
        <f>IFERROR(__xludf.DUMMYFUNCTION("""COMPUTED_VALUE"""),340216.0)</f>
        <v>340216</v>
      </c>
      <c r="B29" s="5" t="str">
        <f>IFERROR(__xludf.DUMMYFUNCTION("""COMPUTED_VALUE"""),"酒井太智")</f>
        <v>酒井太智</v>
      </c>
      <c r="C29" s="5" t="str">
        <f>IFERROR(__xludf.DUMMYFUNCTION("""COMPUTED_VALUE"""),"さかいたいち")</f>
        <v>さかいたいち</v>
      </c>
      <c r="D29" s="5">
        <f>IFERROR(__xludf.DUMMYFUNCTION("""COMPUTED_VALUE"""),1.0)</f>
        <v>1</v>
      </c>
      <c r="E29" s="5" t="str">
        <f>IFERROR(__xludf.DUMMYFUNCTION("""COMPUTED_VALUE"""),"男")</f>
        <v>男</v>
      </c>
      <c r="F29" s="5" t="str">
        <f>IFERROR(__xludf.DUMMYFUNCTION("""COMPUTED_VALUE"""),"×欠場")</f>
        <v>×欠場</v>
      </c>
      <c r="G29" s="5" t="str">
        <f>IFERROR(__xludf.DUMMYFUNCTION("""COMPUTED_VALUE"""),"×欠場")</f>
        <v>×欠場</v>
      </c>
      <c r="H29" s="5"/>
      <c r="I29" s="5" t="str">
        <f>IFERROR(__xludf.DUMMYFUNCTION("""COMPUTED_VALUE"""),"×参加しない")</f>
        <v>×参加しない</v>
      </c>
      <c r="J29" s="5"/>
      <c r="K29" s="12">
        <f t="shared" si="2"/>
        <v>0</v>
      </c>
    </row>
    <row r="30" ht="19.5" customHeight="1">
      <c r="A30" s="5">
        <f>IFERROR(__xludf.DUMMYFUNCTION("""COMPUTED_VALUE"""),240201.0)</f>
        <v>240201</v>
      </c>
      <c r="B30" s="5" t="str">
        <f>IFERROR(__xludf.DUMMYFUNCTION("""COMPUTED_VALUE"""),"柴田日向")</f>
        <v>柴田日向</v>
      </c>
      <c r="C30" s="5" t="str">
        <f>IFERROR(__xludf.DUMMYFUNCTION("""COMPUTED_VALUE"""),"しばたひゅうが")</f>
        <v>しばたひゅうが</v>
      </c>
      <c r="D30" s="5">
        <f>IFERROR(__xludf.DUMMYFUNCTION("""COMPUTED_VALUE"""),2.0)</f>
        <v>2</v>
      </c>
      <c r="E30" s="5" t="str">
        <f>IFERROR(__xludf.DUMMYFUNCTION("""COMPUTED_VALUE"""),"男")</f>
        <v>男</v>
      </c>
      <c r="F30" s="5" t="str">
        <f>IFERROR(__xludf.DUMMYFUNCTION("""COMPUTED_VALUE"""),"MUA")</f>
        <v>MUA</v>
      </c>
      <c r="G30" s="5" t="str">
        <f>IFERROR(__xludf.DUMMYFUNCTION("""COMPUTED_VALUE"""),"○出場")</f>
        <v>○出場</v>
      </c>
      <c r="H30" s="5">
        <f>IFERROR(__xludf.DUMMYFUNCTION("""COMPUTED_VALUE"""),520690.0)</f>
        <v>520690</v>
      </c>
      <c r="I30" s="5" t="str">
        <f>IFERROR(__xludf.DUMMYFUNCTION("""COMPUTED_VALUE"""),"○参加する")</f>
        <v>○参加する</v>
      </c>
      <c r="J30" s="5"/>
      <c r="K30" s="12">
        <f t="shared" si="2"/>
        <v>1</v>
      </c>
    </row>
    <row r="31" ht="19.5" customHeight="1">
      <c r="A31" s="5">
        <f>IFERROR(__xludf.DUMMYFUNCTION("""COMPUTED_VALUE"""),240202.0)</f>
        <v>240202</v>
      </c>
      <c r="B31" s="5" t="str">
        <f>IFERROR(__xludf.DUMMYFUNCTION("""COMPUTED_VALUE"""),"日比野兼伸")</f>
        <v>日比野兼伸</v>
      </c>
      <c r="C31" s="5" t="str">
        <f>IFERROR(__xludf.DUMMYFUNCTION("""COMPUTED_VALUE"""),"ひびのけんしん")</f>
        <v>ひびのけんしん</v>
      </c>
      <c r="D31" s="5">
        <f>IFERROR(__xludf.DUMMYFUNCTION("""COMPUTED_VALUE"""),2.0)</f>
        <v>2</v>
      </c>
      <c r="E31" s="5" t="str">
        <f>IFERROR(__xludf.DUMMYFUNCTION("""COMPUTED_VALUE"""),"男")</f>
        <v>男</v>
      </c>
      <c r="F31" s="5" t="str">
        <f>IFERROR(__xludf.DUMMYFUNCTION("""COMPUTED_VALUE"""),"MUA")</f>
        <v>MUA</v>
      </c>
      <c r="G31" s="5" t="str">
        <f>IFERROR(__xludf.DUMMYFUNCTION("""COMPUTED_VALUE"""),"×欠場")</f>
        <v>×欠場</v>
      </c>
      <c r="H31" s="5">
        <f>IFERROR(__xludf.DUMMYFUNCTION("""COMPUTED_VALUE"""),520683.0)</f>
        <v>520683</v>
      </c>
      <c r="I31" s="5" t="str">
        <f>IFERROR(__xludf.DUMMYFUNCTION("""COMPUTED_VALUE"""),"×参加しない")</f>
        <v>×参加しない</v>
      </c>
      <c r="J31" s="50">
        <f>IFERROR(__xludf.DUMMYFUNCTION("""COMPUTED_VALUE"""),45367.0)</f>
        <v>45367</v>
      </c>
      <c r="K31" s="12">
        <f t="shared" si="2"/>
        <v>1</v>
      </c>
    </row>
    <row r="32" ht="19.5" customHeight="1">
      <c r="A32" s="5">
        <f>IFERROR(__xludf.DUMMYFUNCTION("""COMPUTED_VALUE"""),240203.0)</f>
        <v>240203</v>
      </c>
      <c r="B32" s="5" t="str">
        <f>IFERROR(__xludf.DUMMYFUNCTION("""COMPUTED_VALUE"""),"仲野太陽")</f>
        <v>仲野太陽</v>
      </c>
      <c r="C32" s="5" t="str">
        <f>IFERROR(__xludf.DUMMYFUNCTION("""COMPUTED_VALUE"""),"なかのたいよう")</f>
        <v>なかのたいよう</v>
      </c>
      <c r="D32" s="5">
        <f>IFERROR(__xludf.DUMMYFUNCTION("""COMPUTED_VALUE"""),2.0)</f>
        <v>2</v>
      </c>
      <c r="E32" s="5" t="str">
        <f>IFERROR(__xludf.DUMMYFUNCTION("""COMPUTED_VALUE"""),"男")</f>
        <v>男</v>
      </c>
      <c r="F32" s="5" t="str">
        <f>IFERROR(__xludf.DUMMYFUNCTION("""COMPUTED_VALUE"""),"×欠場")</f>
        <v>×欠場</v>
      </c>
      <c r="G32" s="5" t="str">
        <f>IFERROR(__xludf.DUMMYFUNCTION("""COMPUTED_VALUE"""),"×欠場")</f>
        <v>×欠場</v>
      </c>
      <c r="H32" s="5"/>
      <c r="I32" s="5" t="str">
        <f>IFERROR(__xludf.DUMMYFUNCTION("""COMPUTED_VALUE"""),"×参加しない")</f>
        <v>×参加しない</v>
      </c>
      <c r="J32" s="5"/>
      <c r="K32" s="12">
        <f t="shared" si="2"/>
        <v>0</v>
      </c>
    </row>
    <row r="33" ht="19.5" customHeight="1">
      <c r="A33" s="5">
        <f>IFERROR(__xludf.DUMMYFUNCTION("""COMPUTED_VALUE"""),240204.0)</f>
        <v>240204</v>
      </c>
      <c r="B33" s="5" t="str">
        <f>IFERROR(__xludf.DUMMYFUNCTION("""COMPUTED_VALUE"""),"鈴木寛人")</f>
        <v>鈴木寛人</v>
      </c>
      <c r="C33" s="5" t="str">
        <f>IFERROR(__xludf.DUMMYFUNCTION("""COMPUTED_VALUE"""),"すずきひろと")</f>
        <v>すずきひろと</v>
      </c>
      <c r="D33" s="5">
        <f>IFERROR(__xludf.DUMMYFUNCTION("""COMPUTED_VALUE"""),2.0)</f>
        <v>2</v>
      </c>
      <c r="E33" s="5" t="str">
        <f>IFERROR(__xludf.DUMMYFUNCTION("""COMPUTED_VALUE"""),"男")</f>
        <v>男</v>
      </c>
      <c r="F33" s="5" t="str">
        <f>IFERROR(__xludf.DUMMYFUNCTION("""COMPUTED_VALUE"""),"MUA")</f>
        <v>MUA</v>
      </c>
      <c r="G33" s="5" t="str">
        <f>IFERROR(__xludf.DUMMYFUNCTION("""COMPUTED_VALUE"""),"○出場")</f>
        <v>○出場</v>
      </c>
      <c r="H33" s="5">
        <f>IFERROR(__xludf.DUMMYFUNCTION("""COMPUTED_VALUE"""),520680.0)</f>
        <v>520680</v>
      </c>
      <c r="I33" s="5" t="str">
        <f>IFERROR(__xludf.DUMMYFUNCTION("""COMPUTED_VALUE"""),"○参加する")</f>
        <v>○参加する</v>
      </c>
      <c r="J33" s="5"/>
      <c r="K33" s="12">
        <f t="shared" si="2"/>
        <v>1</v>
      </c>
    </row>
    <row r="34" ht="19.5" customHeight="1">
      <c r="A34" s="5">
        <f>IFERROR(__xludf.DUMMYFUNCTION("""COMPUTED_VALUE"""),240205.0)</f>
        <v>240205</v>
      </c>
      <c r="B34" s="5" t="str">
        <f>IFERROR(__xludf.DUMMYFUNCTION("""COMPUTED_VALUE"""),"竹村宥吾")</f>
        <v>竹村宥吾</v>
      </c>
      <c r="C34" s="5" t="str">
        <f>IFERROR(__xludf.DUMMYFUNCTION("""COMPUTED_VALUE"""),"たけむらゆうご")</f>
        <v>たけむらゆうご</v>
      </c>
      <c r="D34" s="5">
        <f>IFERROR(__xludf.DUMMYFUNCTION("""COMPUTED_VALUE"""),2.0)</f>
        <v>2</v>
      </c>
      <c r="E34" s="5" t="str">
        <f>IFERROR(__xludf.DUMMYFUNCTION("""COMPUTED_VALUE"""),"男")</f>
        <v>男</v>
      </c>
      <c r="F34" s="5" t="str">
        <f>IFERROR(__xludf.DUMMYFUNCTION("""COMPUTED_VALUE"""),"×欠場")</f>
        <v>×欠場</v>
      </c>
      <c r="G34" s="5" t="str">
        <f>IFERROR(__xludf.DUMMYFUNCTION("""COMPUTED_VALUE"""),"×欠場")</f>
        <v>×欠場</v>
      </c>
      <c r="H34" s="5"/>
      <c r="I34" s="5" t="str">
        <f>IFERROR(__xludf.DUMMYFUNCTION("""COMPUTED_VALUE"""),"×参加しない")</f>
        <v>×参加しない</v>
      </c>
      <c r="J34" s="5"/>
      <c r="K34" s="12">
        <f t="shared" si="2"/>
        <v>0</v>
      </c>
    </row>
    <row r="35" ht="19.5" customHeight="1">
      <c r="A35" s="5">
        <f>IFERROR(__xludf.DUMMYFUNCTION("""COMPUTED_VALUE"""),240207.0)</f>
        <v>240207</v>
      </c>
      <c r="B35" s="5" t="str">
        <f>IFERROR(__xludf.DUMMYFUNCTION("""COMPUTED_VALUE"""),"杉本成央")</f>
        <v>杉本成央</v>
      </c>
      <c r="C35" s="5" t="str">
        <f>IFERROR(__xludf.DUMMYFUNCTION("""COMPUTED_VALUE"""),"すぎもとなお")</f>
        <v>すぎもとなお</v>
      </c>
      <c r="D35" s="5">
        <f>IFERROR(__xludf.DUMMYFUNCTION("""COMPUTED_VALUE"""),2.0)</f>
        <v>2</v>
      </c>
      <c r="E35" s="5" t="str">
        <f>IFERROR(__xludf.DUMMYFUNCTION("""COMPUTED_VALUE"""),"男")</f>
        <v>男</v>
      </c>
      <c r="F35" s="5" t="str">
        <f>IFERROR(__xludf.DUMMYFUNCTION("""COMPUTED_VALUE"""),"×欠場")</f>
        <v>×欠場</v>
      </c>
      <c r="G35" s="5" t="str">
        <f>IFERROR(__xludf.DUMMYFUNCTION("""COMPUTED_VALUE"""),"×欠場")</f>
        <v>×欠場</v>
      </c>
      <c r="H35" s="5"/>
      <c r="I35" s="5" t="str">
        <f>IFERROR(__xludf.DUMMYFUNCTION("""COMPUTED_VALUE"""),"×参加しない")</f>
        <v>×参加しない</v>
      </c>
      <c r="J35" s="5"/>
      <c r="K35" s="12">
        <f t="shared" si="2"/>
        <v>0</v>
      </c>
    </row>
    <row r="36" ht="19.5" customHeight="1">
      <c r="A36" s="5">
        <f>IFERROR(__xludf.DUMMYFUNCTION("""COMPUTED_VALUE"""),240210.0)</f>
        <v>240210</v>
      </c>
      <c r="B36" s="5" t="str">
        <f>IFERROR(__xludf.DUMMYFUNCTION("""COMPUTED_VALUE"""),"竹内 恒太")</f>
        <v>竹内 恒太</v>
      </c>
      <c r="C36" s="5" t="str">
        <f>IFERROR(__xludf.DUMMYFUNCTION("""COMPUTED_VALUE"""),"たけうちこうた")</f>
        <v>たけうちこうた</v>
      </c>
      <c r="D36" s="5">
        <f>IFERROR(__xludf.DUMMYFUNCTION("""COMPUTED_VALUE"""),2.0)</f>
        <v>2</v>
      </c>
      <c r="E36" s="5" t="str">
        <f>IFERROR(__xludf.DUMMYFUNCTION("""COMPUTED_VALUE"""),"男")</f>
        <v>男</v>
      </c>
      <c r="F36" s="5" t="str">
        <f>IFERROR(__xludf.DUMMYFUNCTION("""COMPUTED_VALUE"""),"×欠場")</f>
        <v>×欠場</v>
      </c>
      <c r="G36" s="5" t="str">
        <f>IFERROR(__xludf.DUMMYFUNCTION("""COMPUTED_VALUE"""),"×欠場")</f>
        <v>×欠場</v>
      </c>
      <c r="H36" s="5"/>
      <c r="I36" s="5" t="str">
        <f>IFERROR(__xludf.DUMMYFUNCTION("""COMPUTED_VALUE"""),"×参加しない")</f>
        <v>×参加しない</v>
      </c>
      <c r="J36" s="5"/>
      <c r="K36" s="12">
        <f t="shared" si="2"/>
        <v>0</v>
      </c>
    </row>
    <row r="37" ht="19.5" customHeight="1">
      <c r="A37" s="5">
        <f>IFERROR(__xludf.DUMMYFUNCTION("""COMPUTED_VALUE"""),240211.0)</f>
        <v>240211</v>
      </c>
      <c r="B37" s="5" t="str">
        <f>IFERROR(__xludf.DUMMYFUNCTION("""COMPUTED_VALUE"""),"浦野友直")</f>
        <v>浦野友直</v>
      </c>
      <c r="C37" s="5" t="str">
        <f>IFERROR(__xludf.DUMMYFUNCTION("""COMPUTED_VALUE"""),"うらのともなお")</f>
        <v>うらのともなお</v>
      </c>
      <c r="D37" s="5">
        <f>IFERROR(__xludf.DUMMYFUNCTION("""COMPUTED_VALUE"""),2.0)</f>
        <v>2</v>
      </c>
      <c r="E37" s="5" t="str">
        <f>IFERROR(__xludf.DUMMYFUNCTION("""COMPUTED_VALUE"""),"男")</f>
        <v>男</v>
      </c>
      <c r="F37" s="5" t="str">
        <f>IFERROR(__xludf.DUMMYFUNCTION("""COMPUTED_VALUE"""),"×欠場")</f>
        <v>×欠場</v>
      </c>
      <c r="G37" s="5" t="str">
        <f>IFERROR(__xludf.DUMMYFUNCTION("""COMPUTED_VALUE"""),"×欠場")</f>
        <v>×欠場</v>
      </c>
      <c r="H37" s="5"/>
      <c r="I37" s="5" t="str">
        <f>IFERROR(__xludf.DUMMYFUNCTION("""COMPUTED_VALUE"""),"×参加しない")</f>
        <v>×参加しない</v>
      </c>
      <c r="J37" s="5"/>
      <c r="K37" s="12">
        <f t="shared" si="2"/>
        <v>0</v>
      </c>
    </row>
    <row r="38" ht="19.5" customHeight="1">
      <c r="A38" s="5">
        <f>IFERROR(__xludf.DUMMYFUNCTION("""COMPUTED_VALUE"""),240213.0)</f>
        <v>240213</v>
      </c>
      <c r="B38" s="5" t="str">
        <f>IFERROR(__xludf.DUMMYFUNCTION("""COMPUTED_VALUE"""),"郷颯真")</f>
        <v>郷颯真</v>
      </c>
      <c r="C38" s="5" t="str">
        <f>IFERROR(__xludf.DUMMYFUNCTION("""COMPUTED_VALUE"""),"ごうそうま")</f>
        <v>ごうそうま</v>
      </c>
      <c r="D38" s="5">
        <f>IFERROR(__xludf.DUMMYFUNCTION("""COMPUTED_VALUE"""),2.0)</f>
        <v>2</v>
      </c>
      <c r="E38" s="5" t="str">
        <f>IFERROR(__xludf.DUMMYFUNCTION("""COMPUTED_VALUE"""),"男")</f>
        <v>男</v>
      </c>
      <c r="F38" s="5" t="str">
        <f>IFERROR(__xludf.DUMMYFUNCTION("""COMPUTED_VALUE"""),"×欠場")</f>
        <v>×欠場</v>
      </c>
      <c r="G38" s="5" t="str">
        <f>IFERROR(__xludf.DUMMYFUNCTION("""COMPUTED_VALUE"""),"×欠場")</f>
        <v>×欠場</v>
      </c>
      <c r="H38" s="5"/>
      <c r="I38" s="5" t="str">
        <f>IFERROR(__xludf.DUMMYFUNCTION("""COMPUTED_VALUE"""),"×参加しない")</f>
        <v>×参加しない</v>
      </c>
      <c r="J38" s="5"/>
      <c r="K38" s="12">
        <f t="shared" si="2"/>
        <v>0</v>
      </c>
    </row>
    <row r="39" ht="19.5" customHeight="1">
      <c r="A39" s="5">
        <f>IFERROR(__xludf.DUMMYFUNCTION("""COMPUTED_VALUE"""),240214.0)</f>
        <v>240214</v>
      </c>
      <c r="B39" s="5" t="str">
        <f>IFERROR(__xludf.DUMMYFUNCTION("""COMPUTED_VALUE"""),"太田昂希")</f>
        <v>太田昂希</v>
      </c>
      <c r="C39" s="5" t="str">
        <f>IFERROR(__xludf.DUMMYFUNCTION("""COMPUTED_VALUE"""),"おおたこうき")</f>
        <v>おおたこうき</v>
      </c>
      <c r="D39" s="5">
        <f>IFERROR(__xludf.DUMMYFUNCTION("""COMPUTED_VALUE"""),2.0)</f>
        <v>2</v>
      </c>
      <c r="E39" s="5" t="str">
        <f>IFERROR(__xludf.DUMMYFUNCTION("""COMPUTED_VALUE"""),"男")</f>
        <v>男</v>
      </c>
      <c r="F39" s="5" t="str">
        <f>IFERROR(__xludf.DUMMYFUNCTION("""COMPUTED_VALUE"""),"×欠場")</f>
        <v>×欠場</v>
      </c>
      <c r="G39" s="5" t="str">
        <f>IFERROR(__xludf.DUMMYFUNCTION("""COMPUTED_VALUE"""),"×欠場")</f>
        <v>×欠場</v>
      </c>
      <c r="H39" s="5"/>
      <c r="I39" s="5" t="str">
        <f>IFERROR(__xludf.DUMMYFUNCTION("""COMPUTED_VALUE"""),"×参加しない")</f>
        <v>×参加しない</v>
      </c>
      <c r="J39" s="5"/>
      <c r="K39" s="12">
        <f t="shared" si="2"/>
        <v>0</v>
      </c>
    </row>
    <row r="40" ht="19.5" customHeight="1">
      <c r="A40" s="5">
        <f>IFERROR(__xludf.DUMMYFUNCTION("""COMPUTED_VALUE"""),240215.0)</f>
        <v>240215</v>
      </c>
      <c r="B40" s="5" t="str">
        <f>IFERROR(__xludf.DUMMYFUNCTION("""COMPUTED_VALUE"""),"横田力也")</f>
        <v>横田力也</v>
      </c>
      <c r="C40" s="5" t="str">
        <f>IFERROR(__xludf.DUMMYFUNCTION("""COMPUTED_VALUE"""),"よこたりきや")</f>
        <v>よこたりきや</v>
      </c>
      <c r="D40" s="5">
        <f>IFERROR(__xludf.DUMMYFUNCTION("""COMPUTED_VALUE"""),2.0)</f>
        <v>2</v>
      </c>
      <c r="E40" s="5" t="str">
        <f>IFERROR(__xludf.DUMMYFUNCTION("""COMPUTED_VALUE"""),"男")</f>
        <v>男</v>
      </c>
      <c r="F40" s="5" t="str">
        <f>IFERROR(__xludf.DUMMYFUNCTION("""COMPUTED_VALUE"""),"×欠場")</f>
        <v>×欠場</v>
      </c>
      <c r="G40" s="5" t="str">
        <f>IFERROR(__xludf.DUMMYFUNCTION("""COMPUTED_VALUE"""),"×欠場")</f>
        <v>×欠場</v>
      </c>
      <c r="H40" s="5"/>
      <c r="I40" s="5" t="str">
        <f>IFERROR(__xludf.DUMMYFUNCTION("""COMPUTED_VALUE"""),"×参加しない")</f>
        <v>×参加しない</v>
      </c>
      <c r="J40" s="5"/>
      <c r="K40" s="12">
        <f t="shared" si="2"/>
        <v>0</v>
      </c>
    </row>
    <row r="41" ht="19.5" customHeight="1">
      <c r="A41" s="5">
        <f>IFERROR(__xludf.DUMMYFUNCTION("""COMPUTED_VALUE"""),240216.0)</f>
        <v>240216</v>
      </c>
      <c r="B41" s="5" t="str">
        <f>IFERROR(__xludf.DUMMYFUNCTION("""COMPUTED_VALUE"""),"中野友貴")</f>
        <v>中野友貴</v>
      </c>
      <c r="C41" s="5" t="str">
        <f>IFERROR(__xludf.DUMMYFUNCTION("""COMPUTED_VALUE"""),"なかのゆき")</f>
        <v>なかのゆき</v>
      </c>
      <c r="D41" s="5">
        <f>IFERROR(__xludf.DUMMYFUNCTION("""COMPUTED_VALUE"""),2.0)</f>
        <v>2</v>
      </c>
      <c r="E41" s="5" t="str">
        <f>IFERROR(__xludf.DUMMYFUNCTION("""COMPUTED_VALUE"""),"女")</f>
        <v>女</v>
      </c>
      <c r="F41" s="5" t="str">
        <f>IFERROR(__xludf.DUMMYFUNCTION("""COMPUTED_VALUE"""),"WUA")</f>
        <v>WUA</v>
      </c>
      <c r="G41" s="5" t="str">
        <f>IFERROR(__xludf.DUMMYFUNCTION("""COMPUTED_VALUE"""),"○出場")</f>
        <v>○出場</v>
      </c>
      <c r="H41" s="5">
        <f>IFERROR(__xludf.DUMMYFUNCTION("""COMPUTED_VALUE"""),520682.0)</f>
        <v>520682</v>
      </c>
      <c r="I41" s="5" t="str">
        <f>IFERROR(__xludf.DUMMYFUNCTION("""COMPUTED_VALUE"""),"○参加する")</f>
        <v>○参加する</v>
      </c>
      <c r="J41" s="5"/>
      <c r="K41" s="12">
        <f t="shared" si="2"/>
        <v>1</v>
      </c>
    </row>
    <row r="42" ht="19.5" customHeight="1">
      <c r="A42" s="5">
        <f>IFERROR(__xludf.DUMMYFUNCTION("""COMPUTED_VALUE"""),240217.0)</f>
        <v>240217</v>
      </c>
      <c r="B42" s="5" t="str">
        <f>IFERROR(__xludf.DUMMYFUNCTION("""COMPUTED_VALUE"""),"鈴木崚太")</f>
        <v>鈴木崚太</v>
      </c>
      <c r="C42" s="5" t="str">
        <f>IFERROR(__xludf.DUMMYFUNCTION("""COMPUTED_VALUE"""),"すずきりょうた")</f>
        <v>すずきりょうた</v>
      </c>
      <c r="D42" s="5">
        <f>IFERROR(__xludf.DUMMYFUNCTION("""COMPUTED_VALUE"""),2.0)</f>
        <v>2</v>
      </c>
      <c r="E42" s="5" t="str">
        <f>IFERROR(__xludf.DUMMYFUNCTION("""COMPUTED_VALUE"""),"男")</f>
        <v>男</v>
      </c>
      <c r="F42" s="5" t="str">
        <f>IFERROR(__xludf.DUMMYFUNCTION("""COMPUTED_VALUE"""),"×欠場")</f>
        <v>×欠場</v>
      </c>
      <c r="G42" s="5" t="str">
        <f>IFERROR(__xludf.DUMMYFUNCTION("""COMPUTED_VALUE"""),"×欠場")</f>
        <v>×欠場</v>
      </c>
      <c r="H42" s="5"/>
      <c r="I42" s="5" t="str">
        <f>IFERROR(__xludf.DUMMYFUNCTION("""COMPUTED_VALUE"""),"×参加しない")</f>
        <v>×参加しない</v>
      </c>
      <c r="J42" s="5"/>
      <c r="K42" s="12">
        <f t="shared" si="2"/>
        <v>0</v>
      </c>
    </row>
    <row r="43" ht="19.5" customHeight="1">
      <c r="A43" s="5">
        <f>IFERROR(__xludf.DUMMYFUNCTION("""COMPUTED_VALUE"""),240219.0)</f>
        <v>240219</v>
      </c>
      <c r="B43" s="5" t="str">
        <f>IFERROR(__xludf.DUMMYFUNCTION("""COMPUTED_VALUE"""),"磯貝孝介")</f>
        <v>磯貝孝介</v>
      </c>
      <c r="C43" s="5" t="str">
        <f>IFERROR(__xludf.DUMMYFUNCTION("""COMPUTED_VALUE"""),"いそがいこうすけ")</f>
        <v>いそがいこうすけ</v>
      </c>
      <c r="D43" s="5">
        <f>IFERROR(__xludf.DUMMYFUNCTION("""COMPUTED_VALUE"""),2.0)</f>
        <v>2</v>
      </c>
      <c r="E43" s="5" t="str">
        <f>IFERROR(__xludf.DUMMYFUNCTION("""COMPUTED_VALUE"""),"男")</f>
        <v>男</v>
      </c>
      <c r="F43" s="5" t="str">
        <f>IFERROR(__xludf.DUMMYFUNCTION("""COMPUTED_VALUE"""),"×欠場")</f>
        <v>×欠場</v>
      </c>
      <c r="G43" s="5" t="str">
        <f>IFERROR(__xludf.DUMMYFUNCTION("""COMPUTED_VALUE"""),"×欠場")</f>
        <v>×欠場</v>
      </c>
      <c r="H43" s="5"/>
      <c r="I43" s="5" t="str">
        <f>IFERROR(__xludf.DUMMYFUNCTION("""COMPUTED_VALUE"""),"×参加しない")</f>
        <v>×参加しない</v>
      </c>
      <c r="J43" s="5"/>
      <c r="K43" s="12">
        <f t="shared" si="2"/>
        <v>0</v>
      </c>
    </row>
    <row r="44" ht="19.5" customHeight="1">
      <c r="A44" s="5">
        <f>IFERROR(__xludf.DUMMYFUNCTION("""COMPUTED_VALUE"""),240221.0)</f>
        <v>240221</v>
      </c>
      <c r="B44" s="5" t="str">
        <f>IFERROR(__xludf.DUMMYFUNCTION("""COMPUTED_VALUE"""),"杉浦英輝")</f>
        <v>杉浦英輝</v>
      </c>
      <c r="C44" s="5" t="str">
        <f>IFERROR(__xludf.DUMMYFUNCTION("""COMPUTED_VALUE"""),"すぎうらひでき")</f>
        <v>すぎうらひでき</v>
      </c>
      <c r="D44" s="5">
        <f>IFERROR(__xludf.DUMMYFUNCTION("""COMPUTED_VALUE"""),2.0)</f>
        <v>2</v>
      </c>
      <c r="E44" s="5" t="str">
        <f>IFERROR(__xludf.DUMMYFUNCTION("""COMPUTED_VALUE"""),"男")</f>
        <v>男</v>
      </c>
      <c r="F44" s="5" t="str">
        <f>IFERROR(__xludf.DUMMYFUNCTION("""COMPUTED_VALUE"""),"×欠場")</f>
        <v>×欠場</v>
      </c>
      <c r="G44" s="5" t="str">
        <f>IFERROR(__xludf.DUMMYFUNCTION("""COMPUTED_VALUE"""),"×欠場")</f>
        <v>×欠場</v>
      </c>
      <c r="H44" s="5"/>
      <c r="I44" s="5" t="str">
        <f>IFERROR(__xludf.DUMMYFUNCTION("""COMPUTED_VALUE"""),"×参加しない")</f>
        <v>×参加しない</v>
      </c>
      <c r="J44" s="5"/>
      <c r="K44" s="12">
        <f t="shared" si="2"/>
        <v>0</v>
      </c>
    </row>
    <row r="45" ht="19.5" customHeight="1">
      <c r="A45" s="5">
        <f>IFERROR(__xludf.DUMMYFUNCTION("""COMPUTED_VALUE"""),40202.0)</f>
        <v>40202</v>
      </c>
      <c r="B45" s="5" t="str">
        <f>IFERROR(__xludf.DUMMYFUNCTION("""COMPUTED_VALUE"""),"高辻乃輔")</f>
        <v>高辻乃輔</v>
      </c>
      <c r="C45" s="5" t="str">
        <f>IFERROR(__xludf.DUMMYFUNCTION("""COMPUTED_VALUE"""),"たかつじたいすけ")</f>
        <v>たかつじたいすけ</v>
      </c>
      <c r="D45" s="5">
        <f>IFERROR(__xludf.DUMMYFUNCTION("""COMPUTED_VALUE"""),3.0)</f>
        <v>3</v>
      </c>
      <c r="E45" s="5" t="str">
        <f>IFERROR(__xludf.DUMMYFUNCTION("""COMPUTED_VALUE"""),"男")</f>
        <v>男</v>
      </c>
      <c r="F45" s="5" t="str">
        <f>IFERROR(__xludf.DUMMYFUNCTION("""COMPUTED_VALUE"""),"MUA")</f>
        <v>MUA</v>
      </c>
      <c r="G45" s="5" t="str">
        <f>IFERROR(__xludf.DUMMYFUNCTION("""COMPUTED_VALUE"""),"○出場")</f>
        <v>○出場</v>
      </c>
      <c r="H45" s="5">
        <f>IFERROR(__xludf.DUMMYFUNCTION("""COMPUTED_VALUE"""),523998.0)</f>
        <v>523998</v>
      </c>
      <c r="I45" s="5" t="str">
        <f>IFERROR(__xludf.DUMMYFUNCTION("""COMPUTED_VALUE"""),"×参加しない")</f>
        <v>×参加しない</v>
      </c>
      <c r="J45" s="5"/>
      <c r="K45" s="12">
        <f t="shared" si="2"/>
        <v>1</v>
      </c>
    </row>
    <row r="46" ht="19.5" customHeight="1">
      <c r="A46" s="5">
        <f>IFERROR(__xludf.DUMMYFUNCTION("""COMPUTED_VALUE"""),40203.0)</f>
        <v>40203</v>
      </c>
      <c r="B46" s="5" t="str">
        <f>IFERROR(__xludf.DUMMYFUNCTION("""COMPUTED_VALUE"""),"伊藤凛太朗")</f>
        <v>伊藤凛太朗</v>
      </c>
      <c r="C46" s="5" t="str">
        <f>IFERROR(__xludf.DUMMYFUNCTION("""COMPUTED_VALUE"""),"いとうりんたろう")</f>
        <v>いとうりんたろう</v>
      </c>
      <c r="D46" s="5">
        <f>IFERROR(__xludf.DUMMYFUNCTION("""COMPUTED_VALUE"""),3.0)</f>
        <v>3</v>
      </c>
      <c r="E46" s="5" t="str">
        <f>IFERROR(__xludf.DUMMYFUNCTION("""COMPUTED_VALUE"""),"男")</f>
        <v>男</v>
      </c>
      <c r="F46" s="5" t="str">
        <f>IFERROR(__xludf.DUMMYFUNCTION("""COMPUTED_VALUE"""),"MUA")</f>
        <v>MUA</v>
      </c>
      <c r="G46" s="5" t="str">
        <f>IFERROR(__xludf.DUMMYFUNCTION("""COMPUTED_VALUE"""),"○出場")</f>
        <v>○出場</v>
      </c>
      <c r="H46" s="5"/>
      <c r="I46" s="5" t="str">
        <f>IFERROR(__xludf.DUMMYFUNCTION("""COMPUTED_VALUE"""),"○参加する")</f>
        <v>○参加する</v>
      </c>
      <c r="J46" s="5"/>
      <c r="K46" s="12">
        <f t="shared" si="2"/>
        <v>1</v>
      </c>
    </row>
    <row r="47" ht="19.5" customHeight="1">
      <c r="A47" s="5">
        <f>IFERROR(__xludf.DUMMYFUNCTION("""COMPUTED_VALUE"""),40204.0)</f>
        <v>40204</v>
      </c>
      <c r="B47" s="5" t="str">
        <f>IFERROR(__xludf.DUMMYFUNCTION("""COMPUTED_VALUE"""),"御子裕治")</f>
        <v>御子裕治</v>
      </c>
      <c r="C47" s="5" t="str">
        <f>IFERROR(__xludf.DUMMYFUNCTION("""COMPUTED_VALUE"""),"みこゆうじ")</f>
        <v>みこゆうじ</v>
      </c>
      <c r="D47" s="5">
        <f>IFERROR(__xludf.DUMMYFUNCTION("""COMPUTED_VALUE"""),3.0)</f>
        <v>3</v>
      </c>
      <c r="E47" s="5" t="str">
        <f>IFERROR(__xludf.DUMMYFUNCTION("""COMPUTED_VALUE"""),"男")</f>
        <v>男</v>
      </c>
      <c r="F47" s="5" t="str">
        <f>IFERROR(__xludf.DUMMYFUNCTION("""COMPUTED_VALUE"""),"MUA")</f>
        <v>MUA</v>
      </c>
      <c r="G47" s="5" t="str">
        <f>IFERROR(__xludf.DUMMYFUNCTION("""COMPUTED_VALUE"""),"○出場")</f>
        <v>○出場</v>
      </c>
      <c r="H47" s="5"/>
      <c r="I47" s="5" t="str">
        <f>IFERROR(__xludf.DUMMYFUNCTION("""COMPUTED_VALUE"""),"×参加しない")</f>
        <v>×参加しない</v>
      </c>
      <c r="J47" s="5"/>
      <c r="K47" s="12">
        <f t="shared" si="2"/>
        <v>1</v>
      </c>
    </row>
    <row r="48" ht="19.5" customHeight="1">
      <c r="A48" s="5">
        <f>IFERROR(__xludf.DUMMYFUNCTION("""COMPUTED_VALUE"""),40207.0)</f>
        <v>40207</v>
      </c>
      <c r="B48" s="5" t="str">
        <f>IFERROR(__xludf.DUMMYFUNCTION("""COMPUTED_VALUE"""),"荒川恭誠")</f>
        <v>荒川恭誠</v>
      </c>
      <c r="C48" s="5" t="str">
        <f>IFERROR(__xludf.DUMMYFUNCTION("""COMPUTED_VALUE"""),"あらかわやすなり")</f>
        <v>あらかわやすなり</v>
      </c>
      <c r="D48" s="5">
        <f>IFERROR(__xludf.DUMMYFUNCTION("""COMPUTED_VALUE"""),3.0)</f>
        <v>3</v>
      </c>
      <c r="E48" s="5" t="str">
        <f>IFERROR(__xludf.DUMMYFUNCTION("""COMPUTED_VALUE"""),"男")</f>
        <v>男</v>
      </c>
      <c r="F48" s="5" t="str">
        <f>IFERROR(__xludf.DUMMYFUNCTION("""COMPUTED_VALUE"""),"MUA")</f>
        <v>MUA</v>
      </c>
      <c r="G48" s="5" t="str">
        <f>IFERROR(__xludf.DUMMYFUNCTION("""COMPUTED_VALUE"""),"○出場")</f>
        <v>○出場</v>
      </c>
      <c r="H48" s="5">
        <f>IFERROR(__xludf.DUMMYFUNCTION("""COMPUTED_VALUE"""),524344.0)</f>
        <v>524344</v>
      </c>
      <c r="I48" s="5" t="str">
        <f>IFERROR(__xludf.DUMMYFUNCTION("""COMPUTED_VALUE"""),"○参加する")</f>
        <v>○参加する</v>
      </c>
      <c r="J48" s="5"/>
      <c r="K48" s="12">
        <f t="shared" si="2"/>
        <v>1</v>
      </c>
    </row>
    <row r="49" ht="19.5" customHeight="1">
      <c r="A49" s="5">
        <f>IFERROR(__xludf.DUMMYFUNCTION("""COMPUTED_VALUE"""),40208.0)</f>
        <v>40208</v>
      </c>
      <c r="B49" s="5" t="str">
        <f>IFERROR(__xludf.DUMMYFUNCTION("""COMPUTED_VALUE"""),"小野旭陽")</f>
        <v>小野旭陽</v>
      </c>
      <c r="C49" s="5" t="str">
        <f>IFERROR(__xludf.DUMMYFUNCTION("""COMPUTED_VALUE"""),"おのあさひ")</f>
        <v>おのあさひ</v>
      </c>
      <c r="D49" s="5">
        <f>IFERROR(__xludf.DUMMYFUNCTION("""COMPUTED_VALUE"""),3.0)</f>
        <v>3</v>
      </c>
      <c r="E49" s="5" t="str">
        <f>IFERROR(__xludf.DUMMYFUNCTION("""COMPUTED_VALUE"""),"男")</f>
        <v>男</v>
      </c>
      <c r="F49" s="5" t="str">
        <f>IFERROR(__xludf.DUMMYFUNCTION("""COMPUTED_VALUE"""),"MUA")</f>
        <v>MUA</v>
      </c>
      <c r="G49" s="5" t="str">
        <f>IFERROR(__xludf.DUMMYFUNCTION("""COMPUTED_VALUE"""),"○出場")</f>
        <v>○出場</v>
      </c>
      <c r="H49" s="5">
        <f>IFERROR(__xludf.DUMMYFUNCTION("""COMPUTED_VALUE"""),524343.0)</f>
        <v>524343</v>
      </c>
      <c r="I49" s="5" t="str">
        <f>IFERROR(__xludf.DUMMYFUNCTION("""COMPUTED_VALUE"""),"○参加する")</f>
        <v>○参加する</v>
      </c>
      <c r="J49" s="5"/>
      <c r="K49" s="12">
        <f t="shared" si="2"/>
        <v>1</v>
      </c>
    </row>
    <row r="50" ht="19.5" customHeight="1">
      <c r="A50" s="5">
        <f>IFERROR(__xludf.DUMMYFUNCTION("""COMPUTED_VALUE"""),40209.0)</f>
        <v>40209</v>
      </c>
      <c r="B50" s="5" t="str">
        <f>IFERROR(__xludf.DUMMYFUNCTION("""COMPUTED_VALUE"""),"神野湧樹")</f>
        <v>神野湧樹</v>
      </c>
      <c r="C50" s="5" t="str">
        <f>IFERROR(__xludf.DUMMYFUNCTION("""COMPUTED_VALUE"""),"じんのゆうき")</f>
        <v>じんのゆうき</v>
      </c>
      <c r="D50" s="5">
        <f>IFERROR(__xludf.DUMMYFUNCTION("""COMPUTED_VALUE"""),3.0)</f>
        <v>3</v>
      </c>
      <c r="E50" s="5" t="str">
        <f>IFERROR(__xludf.DUMMYFUNCTION("""COMPUTED_VALUE"""),"男")</f>
        <v>男</v>
      </c>
      <c r="F50" s="5" t="str">
        <f>IFERROR(__xludf.DUMMYFUNCTION("""COMPUTED_VALUE"""),"×欠場")</f>
        <v>×欠場</v>
      </c>
      <c r="G50" s="5" t="str">
        <f>IFERROR(__xludf.DUMMYFUNCTION("""COMPUTED_VALUE"""),"×欠場")</f>
        <v>×欠場</v>
      </c>
      <c r="H50" s="5"/>
      <c r="I50" s="5" t="str">
        <f>IFERROR(__xludf.DUMMYFUNCTION("""COMPUTED_VALUE"""),"×参加しない")</f>
        <v>×参加しない</v>
      </c>
      <c r="J50" s="5"/>
      <c r="K50" s="12">
        <f t="shared" si="2"/>
        <v>0</v>
      </c>
    </row>
    <row r="51" ht="19.5" customHeight="1">
      <c r="A51" s="5">
        <f>IFERROR(__xludf.DUMMYFUNCTION("""COMPUTED_VALUE"""),40210.0)</f>
        <v>40210</v>
      </c>
      <c r="B51" s="5" t="str">
        <f>IFERROR(__xludf.DUMMYFUNCTION("""COMPUTED_VALUE"""),"窪田英雄")</f>
        <v>窪田英雄</v>
      </c>
      <c r="C51" s="5" t="str">
        <f>IFERROR(__xludf.DUMMYFUNCTION("""COMPUTED_VALUE"""),"くぼたひでお")</f>
        <v>くぼたひでお</v>
      </c>
      <c r="D51" s="5">
        <f>IFERROR(__xludf.DUMMYFUNCTION("""COMPUTED_VALUE"""),3.0)</f>
        <v>3</v>
      </c>
      <c r="E51" s="5" t="str">
        <f>IFERROR(__xludf.DUMMYFUNCTION("""COMPUTED_VALUE"""),"男")</f>
        <v>男</v>
      </c>
      <c r="F51" s="5" t="str">
        <f>IFERROR(__xludf.DUMMYFUNCTION("""COMPUTED_VALUE"""),"×欠場")</f>
        <v>×欠場</v>
      </c>
      <c r="G51" s="5" t="str">
        <f>IFERROR(__xludf.DUMMYFUNCTION("""COMPUTED_VALUE"""),"×欠場")</f>
        <v>×欠場</v>
      </c>
      <c r="H51" s="5"/>
      <c r="I51" s="5" t="str">
        <f>IFERROR(__xludf.DUMMYFUNCTION("""COMPUTED_VALUE"""),"×参加しない")</f>
        <v>×参加しない</v>
      </c>
      <c r="J51" s="5"/>
      <c r="K51" s="12">
        <f t="shared" si="2"/>
        <v>0</v>
      </c>
    </row>
    <row r="52" ht="19.5" customHeight="1">
      <c r="A52" s="5">
        <f>IFERROR(__xludf.DUMMYFUNCTION("""COMPUTED_VALUE"""),40211.0)</f>
        <v>40211</v>
      </c>
      <c r="B52" s="5" t="str">
        <f>IFERROR(__xludf.DUMMYFUNCTION("""COMPUTED_VALUE"""),"高木慎之介")</f>
        <v>高木慎之介</v>
      </c>
      <c r="C52" s="5" t="str">
        <f>IFERROR(__xludf.DUMMYFUNCTION("""COMPUTED_VALUE"""),"たかぎしんのすけ")</f>
        <v>たかぎしんのすけ</v>
      </c>
      <c r="D52" s="5">
        <f>IFERROR(__xludf.DUMMYFUNCTION("""COMPUTED_VALUE"""),3.0)</f>
        <v>3</v>
      </c>
      <c r="E52" s="5" t="str">
        <f>IFERROR(__xludf.DUMMYFUNCTION("""COMPUTED_VALUE"""),"男")</f>
        <v>男</v>
      </c>
      <c r="F52" s="5" t="str">
        <f>IFERROR(__xludf.DUMMYFUNCTION("""COMPUTED_VALUE"""),"MUA")</f>
        <v>MUA</v>
      </c>
      <c r="G52" s="5" t="str">
        <f>IFERROR(__xludf.DUMMYFUNCTION("""COMPUTED_VALUE"""),"○出場")</f>
        <v>○出場</v>
      </c>
      <c r="H52" s="5">
        <f>IFERROR(__xludf.DUMMYFUNCTION("""COMPUTED_VALUE"""),513110.0)</f>
        <v>513110</v>
      </c>
      <c r="I52" s="5" t="str">
        <f>IFERROR(__xludf.DUMMYFUNCTION("""COMPUTED_VALUE"""),"×参加しない")</f>
        <v>×参加しない</v>
      </c>
      <c r="J52" s="5"/>
      <c r="K52" s="12">
        <f t="shared" si="2"/>
        <v>1</v>
      </c>
    </row>
    <row r="53" ht="19.5" customHeight="1">
      <c r="A53" s="5">
        <f>IFERROR(__xludf.DUMMYFUNCTION("""COMPUTED_VALUE"""),40212.0)</f>
        <v>40212</v>
      </c>
      <c r="B53" s="5" t="str">
        <f>IFERROR(__xludf.DUMMYFUNCTION("""COMPUTED_VALUE"""),"島田智也")</f>
        <v>島田智也</v>
      </c>
      <c r="C53" s="5" t="str">
        <f>IFERROR(__xludf.DUMMYFUNCTION("""COMPUTED_VALUE"""),"しまだともや")</f>
        <v>しまだともや</v>
      </c>
      <c r="D53" s="5">
        <f>IFERROR(__xludf.DUMMYFUNCTION("""COMPUTED_VALUE"""),3.0)</f>
        <v>3</v>
      </c>
      <c r="E53" s="5" t="str">
        <f>IFERROR(__xludf.DUMMYFUNCTION("""COMPUTED_VALUE"""),"男")</f>
        <v>男</v>
      </c>
      <c r="F53" s="5" t="str">
        <f>IFERROR(__xludf.DUMMYFUNCTION("""COMPUTED_VALUE"""),"MUA")</f>
        <v>MUA</v>
      </c>
      <c r="G53" s="5" t="str">
        <f>IFERROR(__xludf.DUMMYFUNCTION("""COMPUTED_VALUE"""),"○出場")</f>
        <v>○出場</v>
      </c>
      <c r="H53" s="5">
        <f>IFERROR(__xludf.DUMMYFUNCTION("""COMPUTED_VALUE"""),530326.0)</f>
        <v>530326</v>
      </c>
      <c r="I53" s="5" t="str">
        <f>IFERROR(__xludf.DUMMYFUNCTION("""COMPUTED_VALUE"""),"○参加する")</f>
        <v>○参加する</v>
      </c>
      <c r="J53" s="5"/>
      <c r="K53" s="12">
        <f t="shared" si="2"/>
        <v>1</v>
      </c>
    </row>
    <row r="54" ht="19.5" customHeight="1">
      <c r="A54" s="5">
        <f>IFERROR(__xludf.DUMMYFUNCTION("""COMPUTED_VALUE"""),40213.0)</f>
        <v>40213</v>
      </c>
      <c r="B54" s="5" t="str">
        <f>IFERROR(__xludf.DUMMYFUNCTION("""COMPUTED_VALUE"""),"竹川貴教")</f>
        <v>竹川貴教</v>
      </c>
      <c r="C54" s="5" t="str">
        <f>IFERROR(__xludf.DUMMYFUNCTION("""COMPUTED_VALUE"""),"たけかわたかのり")</f>
        <v>たけかわたかのり</v>
      </c>
      <c r="D54" s="5">
        <f>IFERROR(__xludf.DUMMYFUNCTION("""COMPUTED_VALUE"""),3.0)</f>
        <v>3</v>
      </c>
      <c r="E54" s="5" t="str">
        <f>IFERROR(__xludf.DUMMYFUNCTION("""COMPUTED_VALUE"""),"男")</f>
        <v>男</v>
      </c>
      <c r="F54" s="5" t="str">
        <f>IFERROR(__xludf.DUMMYFUNCTION("""COMPUTED_VALUE"""),"MUA")</f>
        <v>MUA</v>
      </c>
      <c r="G54" s="5" t="str">
        <f>IFERROR(__xludf.DUMMYFUNCTION("""COMPUTED_VALUE"""),"○出場")</f>
        <v>○出場</v>
      </c>
      <c r="H54" s="5"/>
      <c r="I54" s="5" t="str">
        <f>IFERROR(__xludf.DUMMYFUNCTION("""COMPUTED_VALUE"""),"×参加しない")</f>
        <v>×参加しない</v>
      </c>
      <c r="J54" s="5"/>
      <c r="K54" s="12">
        <f t="shared" si="2"/>
        <v>1</v>
      </c>
    </row>
    <row r="55" ht="19.5" customHeight="1">
      <c r="A55" s="5">
        <f>IFERROR(__xludf.DUMMYFUNCTION("""COMPUTED_VALUE"""),40215.0)</f>
        <v>40215</v>
      </c>
      <c r="B55" s="5" t="str">
        <f>IFERROR(__xludf.DUMMYFUNCTION("""COMPUTED_VALUE"""),"酒井幸太")</f>
        <v>酒井幸太</v>
      </c>
      <c r="C55" s="5" t="str">
        <f>IFERROR(__xludf.DUMMYFUNCTION("""COMPUTED_VALUE"""),"さかいこうた")</f>
        <v>さかいこうた</v>
      </c>
      <c r="D55" s="5">
        <f>IFERROR(__xludf.DUMMYFUNCTION("""COMPUTED_VALUE"""),3.0)</f>
        <v>3</v>
      </c>
      <c r="E55" s="5" t="str">
        <f>IFERROR(__xludf.DUMMYFUNCTION("""COMPUTED_VALUE"""),"男")</f>
        <v>男</v>
      </c>
      <c r="F55" s="5" t="str">
        <f>IFERROR(__xludf.DUMMYFUNCTION("""COMPUTED_VALUE"""),"MUA")</f>
        <v>MUA</v>
      </c>
      <c r="G55" s="5" t="str">
        <f>IFERROR(__xludf.DUMMYFUNCTION("""COMPUTED_VALUE"""),"○出場")</f>
        <v>○出場</v>
      </c>
      <c r="H55" s="5">
        <f>IFERROR(__xludf.DUMMYFUNCTION("""COMPUTED_VALUE"""),515794.0)</f>
        <v>515794</v>
      </c>
      <c r="I55" s="5" t="str">
        <f>IFERROR(__xludf.DUMMYFUNCTION("""COMPUTED_VALUE"""),"×参加しない")</f>
        <v>×参加しない</v>
      </c>
      <c r="J55" s="5"/>
      <c r="K55" s="12">
        <f t="shared" si="2"/>
        <v>1</v>
      </c>
    </row>
    <row r="56" ht="19.5" customHeight="1">
      <c r="A56" s="5">
        <f>IFERROR(__xludf.DUMMYFUNCTION("""COMPUTED_VALUE"""),40217.0)</f>
        <v>40217</v>
      </c>
      <c r="B56" s="5" t="str">
        <f>IFERROR(__xludf.DUMMYFUNCTION("""COMPUTED_VALUE"""),"井手龍之介")</f>
        <v>井手龍之介</v>
      </c>
      <c r="C56" s="5" t="str">
        <f>IFERROR(__xludf.DUMMYFUNCTION("""COMPUTED_VALUE"""),"いでりゅうのすけ")</f>
        <v>いでりゅうのすけ</v>
      </c>
      <c r="D56" s="5">
        <f>IFERROR(__xludf.DUMMYFUNCTION("""COMPUTED_VALUE"""),3.0)</f>
        <v>3</v>
      </c>
      <c r="E56" s="5" t="str">
        <f>IFERROR(__xludf.DUMMYFUNCTION("""COMPUTED_VALUE"""),"男")</f>
        <v>男</v>
      </c>
      <c r="F56" s="5" t="str">
        <f>IFERROR(__xludf.DUMMYFUNCTION("""COMPUTED_VALUE"""),"×欠場")</f>
        <v>×欠場</v>
      </c>
      <c r="G56" s="5" t="str">
        <f>IFERROR(__xludf.DUMMYFUNCTION("""COMPUTED_VALUE"""),"×欠場")</f>
        <v>×欠場</v>
      </c>
      <c r="H56" s="5"/>
      <c r="I56" s="5" t="str">
        <f>IFERROR(__xludf.DUMMYFUNCTION("""COMPUTED_VALUE"""),"×参加しない")</f>
        <v>×参加しない</v>
      </c>
      <c r="J56" s="5"/>
      <c r="K56" s="12">
        <f t="shared" si="2"/>
        <v>0</v>
      </c>
    </row>
    <row r="57" ht="19.5" customHeight="1">
      <c r="A57" s="5">
        <f>IFERROR(__xludf.DUMMYFUNCTION("""COMPUTED_VALUE"""),40218.0)</f>
        <v>40218</v>
      </c>
      <c r="B57" s="5" t="str">
        <f>IFERROR(__xludf.DUMMYFUNCTION("""COMPUTED_VALUE"""),"清水侃太")</f>
        <v>清水侃太</v>
      </c>
      <c r="C57" s="5" t="str">
        <f>IFERROR(__xludf.DUMMYFUNCTION("""COMPUTED_VALUE"""),"しみずかんた")</f>
        <v>しみずかんた</v>
      </c>
      <c r="D57" s="5">
        <f>IFERROR(__xludf.DUMMYFUNCTION("""COMPUTED_VALUE"""),3.0)</f>
        <v>3</v>
      </c>
      <c r="E57" s="5" t="str">
        <f>IFERROR(__xludf.DUMMYFUNCTION("""COMPUTED_VALUE"""),"男")</f>
        <v>男</v>
      </c>
      <c r="F57" s="5" t="str">
        <f>IFERROR(__xludf.DUMMYFUNCTION("""COMPUTED_VALUE"""),"MUA")</f>
        <v>MUA</v>
      </c>
      <c r="G57" s="5" t="str">
        <f>IFERROR(__xludf.DUMMYFUNCTION("""COMPUTED_VALUE"""),"○出場")</f>
        <v>○出場</v>
      </c>
      <c r="H57" s="5"/>
      <c r="I57" s="5" t="str">
        <f>IFERROR(__xludf.DUMMYFUNCTION("""COMPUTED_VALUE"""),"○参加する")</f>
        <v>○参加する</v>
      </c>
      <c r="J57" s="5"/>
      <c r="K57" s="12">
        <f t="shared" si="2"/>
        <v>1</v>
      </c>
    </row>
    <row r="58" ht="19.5" customHeight="1">
      <c r="A58" s="5">
        <f>IFERROR(__xludf.DUMMYFUNCTION("""COMPUTED_VALUE"""),40221.0)</f>
        <v>40221</v>
      </c>
      <c r="B58" s="5" t="str">
        <f>IFERROR(__xludf.DUMMYFUNCTION("""COMPUTED_VALUE"""),"原野萌々")</f>
        <v>原野萌々</v>
      </c>
      <c r="C58" s="5" t="str">
        <f>IFERROR(__xludf.DUMMYFUNCTION("""COMPUTED_VALUE"""),"はらのもも")</f>
        <v>はらのもも</v>
      </c>
      <c r="D58" s="5">
        <f>IFERROR(__xludf.DUMMYFUNCTION("""COMPUTED_VALUE"""),3.0)</f>
        <v>3</v>
      </c>
      <c r="E58" s="5" t="str">
        <f>IFERROR(__xludf.DUMMYFUNCTION("""COMPUTED_VALUE"""),"女")</f>
        <v>女</v>
      </c>
      <c r="F58" s="5" t="str">
        <f>IFERROR(__xludf.DUMMYFUNCTION("""COMPUTED_VALUE"""),"WUA")</f>
        <v>WUA</v>
      </c>
      <c r="G58" s="5" t="str">
        <f>IFERROR(__xludf.DUMMYFUNCTION("""COMPUTED_VALUE"""),"○出場")</f>
        <v>○出場</v>
      </c>
      <c r="H58" s="5"/>
      <c r="I58" s="5" t="str">
        <f>IFERROR(__xludf.DUMMYFUNCTION("""COMPUTED_VALUE"""),"×参加しない")</f>
        <v>×参加しない</v>
      </c>
      <c r="J58" s="5"/>
      <c r="K58" s="12">
        <f t="shared" si="2"/>
        <v>1</v>
      </c>
    </row>
    <row r="59" ht="19.5" customHeight="1">
      <c r="A59" s="5">
        <f>IFERROR(__xludf.DUMMYFUNCTION("""COMPUTED_VALUE"""),140201.0)</f>
        <v>140201</v>
      </c>
      <c r="B59" s="5" t="str">
        <f>IFERROR(__xludf.DUMMYFUNCTION("""COMPUTED_VALUE"""),"勝野智喜")</f>
        <v>勝野智喜</v>
      </c>
      <c r="C59" s="5" t="str">
        <f>IFERROR(__xludf.DUMMYFUNCTION("""COMPUTED_VALUE"""),"かつのともき")</f>
        <v>かつのともき</v>
      </c>
      <c r="D59" s="5">
        <f>IFERROR(__xludf.DUMMYFUNCTION("""COMPUTED_VALUE"""),3.0)</f>
        <v>3</v>
      </c>
      <c r="E59" s="5" t="str">
        <f>IFERROR(__xludf.DUMMYFUNCTION("""COMPUTED_VALUE"""),"男")</f>
        <v>男</v>
      </c>
      <c r="F59" s="5" t="str">
        <f>IFERROR(__xludf.DUMMYFUNCTION("""COMPUTED_VALUE"""),"MUA")</f>
        <v>MUA</v>
      </c>
      <c r="G59" s="5" t="str">
        <f>IFERROR(__xludf.DUMMYFUNCTION("""COMPUTED_VALUE"""),"○出場")</f>
        <v>○出場</v>
      </c>
      <c r="H59" s="5"/>
      <c r="I59" s="5" t="str">
        <f>IFERROR(__xludf.DUMMYFUNCTION("""COMPUTED_VALUE"""),"×参加しない")</f>
        <v>×参加しない</v>
      </c>
      <c r="J59" s="5"/>
      <c r="K59" s="12">
        <f t="shared" si="2"/>
        <v>1</v>
      </c>
    </row>
    <row r="60" ht="19.5" customHeight="1">
      <c r="A60" s="5">
        <f>IFERROR(__xludf.DUMMYFUNCTION("""COMPUTED_VALUE"""),140203.0)</f>
        <v>140203</v>
      </c>
      <c r="B60" s="5" t="str">
        <f>IFERROR(__xludf.DUMMYFUNCTION("""COMPUTED_VALUE"""),"三田村和樹")</f>
        <v>三田村和樹</v>
      </c>
      <c r="C60" s="5" t="str">
        <f>IFERROR(__xludf.DUMMYFUNCTION("""COMPUTED_VALUE"""),"みたむらかずき")</f>
        <v>みたむらかずき</v>
      </c>
      <c r="D60" s="5">
        <f>IFERROR(__xludf.DUMMYFUNCTION("""COMPUTED_VALUE"""),3.0)</f>
        <v>3</v>
      </c>
      <c r="E60" s="5" t="str">
        <f>IFERROR(__xludf.DUMMYFUNCTION("""COMPUTED_VALUE"""),"男")</f>
        <v>男</v>
      </c>
      <c r="F60" s="5" t="str">
        <f>IFERROR(__xludf.DUMMYFUNCTION("""COMPUTED_VALUE"""),"MUA")</f>
        <v>MUA</v>
      </c>
      <c r="G60" s="5" t="str">
        <f>IFERROR(__xludf.DUMMYFUNCTION("""COMPUTED_VALUE"""),"×欠場")</f>
        <v>×欠場</v>
      </c>
      <c r="H60" s="5"/>
      <c r="I60" s="5" t="str">
        <f>IFERROR(__xludf.DUMMYFUNCTION("""COMPUTED_VALUE"""),"×参加しない")</f>
        <v>×参加しない</v>
      </c>
      <c r="J60" s="50">
        <f>IFERROR(__xludf.DUMMYFUNCTION("""COMPUTED_VALUE"""),45367.0)</f>
        <v>45367</v>
      </c>
      <c r="K60" s="12">
        <f t="shared" si="2"/>
        <v>1</v>
      </c>
    </row>
    <row r="61" ht="19.5" customHeight="1">
      <c r="A61" s="5">
        <f>IFERROR(__xludf.DUMMYFUNCTION("""COMPUTED_VALUE"""),140205.0)</f>
        <v>140205</v>
      </c>
      <c r="B61" s="5" t="str">
        <f>IFERROR(__xludf.DUMMYFUNCTION("""COMPUTED_VALUE"""),"大塚康平")</f>
        <v>大塚康平</v>
      </c>
      <c r="C61" s="5" t="str">
        <f>IFERROR(__xludf.DUMMYFUNCTION("""COMPUTED_VALUE"""),"おおつかこうへい")</f>
        <v>おおつかこうへい</v>
      </c>
      <c r="D61" s="5">
        <f>IFERROR(__xludf.DUMMYFUNCTION("""COMPUTED_VALUE"""),3.0)</f>
        <v>3</v>
      </c>
      <c r="E61" s="5" t="str">
        <f>IFERROR(__xludf.DUMMYFUNCTION("""COMPUTED_VALUE"""),"男")</f>
        <v>男</v>
      </c>
      <c r="F61" s="5" t="str">
        <f>IFERROR(__xludf.DUMMYFUNCTION("""COMPUTED_VALUE"""),"MUA")</f>
        <v>MUA</v>
      </c>
      <c r="G61" s="5" t="str">
        <f>IFERROR(__xludf.DUMMYFUNCTION("""COMPUTED_VALUE"""),"○出場")</f>
        <v>○出場</v>
      </c>
      <c r="H61" s="5">
        <f>IFERROR(__xludf.DUMMYFUNCTION("""COMPUTED_VALUE"""),514079.0)</f>
        <v>514079</v>
      </c>
      <c r="I61" s="5" t="str">
        <f>IFERROR(__xludf.DUMMYFUNCTION("""COMPUTED_VALUE"""),"○参加する")</f>
        <v>○参加する</v>
      </c>
      <c r="J61" s="5"/>
      <c r="K61" s="12">
        <f t="shared" si="2"/>
        <v>1</v>
      </c>
    </row>
    <row r="62" ht="19.5" customHeight="1">
      <c r="A62" s="5">
        <f>IFERROR(__xludf.DUMMYFUNCTION("""COMPUTED_VALUE"""),140206.0)</f>
        <v>140206</v>
      </c>
      <c r="B62" s="5" t="str">
        <f>IFERROR(__xludf.DUMMYFUNCTION("""COMPUTED_VALUE"""),"板谷拓紀")</f>
        <v>板谷拓紀</v>
      </c>
      <c r="C62" s="5" t="str">
        <f>IFERROR(__xludf.DUMMYFUNCTION("""COMPUTED_VALUE"""),"いたやひろき")</f>
        <v>いたやひろき</v>
      </c>
      <c r="D62" s="5">
        <f>IFERROR(__xludf.DUMMYFUNCTION("""COMPUTED_VALUE"""),3.0)</f>
        <v>3</v>
      </c>
      <c r="E62" s="5" t="str">
        <f>IFERROR(__xludf.DUMMYFUNCTION("""COMPUTED_VALUE"""),"男")</f>
        <v>男</v>
      </c>
      <c r="F62" s="5" t="str">
        <f>IFERROR(__xludf.DUMMYFUNCTION("""COMPUTED_VALUE"""),"×欠場")</f>
        <v>×欠場</v>
      </c>
      <c r="G62" s="5" t="str">
        <f>IFERROR(__xludf.DUMMYFUNCTION("""COMPUTED_VALUE"""),"×欠場")</f>
        <v>×欠場</v>
      </c>
      <c r="H62" s="5"/>
      <c r="I62" s="5" t="str">
        <f>IFERROR(__xludf.DUMMYFUNCTION("""COMPUTED_VALUE"""),"×参加しない")</f>
        <v>×参加しない</v>
      </c>
      <c r="J62" s="5"/>
      <c r="K62" s="12">
        <f t="shared" si="2"/>
        <v>0</v>
      </c>
    </row>
    <row r="63" ht="19.5" customHeight="1">
      <c r="A63" s="5">
        <f>IFERROR(__xludf.DUMMYFUNCTION("""COMPUTED_VALUE"""),140211.0)</f>
        <v>140211</v>
      </c>
      <c r="B63" s="5" t="str">
        <f>IFERROR(__xludf.DUMMYFUNCTION("""COMPUTED_VALUE"""),"舘直輝")</f>
        <v>舘直輝</v>
      </c>
      <c r="C63" s="5" t="str">
        <f>IFERROR(__xludf.DUMMYFUNCTION("""COMPUTED_VALUE"""),"たちなおき")</f>
        <v>たちなおき</v>
      </c>
      <c r="D63" s="5">
        <f>IFERROR(__xludf.DUMMYFUNCTION("""COMPUTED_VALUE"""),3.0)</f>
        <v>3</v>
      </c>
      <c r="E63" s="5" t="str">
        <f>IFERROR(__xludf.DUMMYFUNCTION("""COMPUTED_VALUE"""),"男")</f>
        <v>男</v>
      </c>
      <c r="F63" s="5" t="str">
        <f>IFERROR(__xludf.DUMMYFUNCTION("""COMPUTED_VALUE"""),"MUA")</f>
        <v>MUA</v>
      </c>
      <c r="G63" s="5" t="str">
        <f>IFERROR(__xludf.DUMMYFUNCTION("""COMPUTED_VALUE"""),"○出場")</f>
        <v>○出場</v>
      </c>
      <c r="H63" s="5">
        <f>IFERROR(__xludf.DUMMYFUNCTION("""COMPUTED_VALUE"""),515774.0)</f>
        <v>515774</v>
      </c>
      <c r="I63" s="5" t="str">
        <f>IFERROR(__xludf.DUMMYFUNCTION("""COMPUTED_VALUE"""),"○参加する")</f>
        <v>○参加する</v>
      </c>
      <c r="J63" s="5"/>
      <c r="K63" s="12">
        <f t="shared" si="2"/>
        <v>1</v>
      </c>
    </row>
    <row r="64" ht="19.5" customHeight="1">
      <c r="A64" s="5">
        <f>IFERROR(__xludf.DUMMYFUNCTION("""COMPUTED_VALUE"""),140214.0)</f>
        <v>140214</v>
      </c>
      <c r="B64" s="5" t="str">
        <f>IFERROR(__xludf.DUMMYFUNCTION("""COMPUTED_VALUE"""),"市川礼人")</f>
        <v>市川礼人</v>
      </c>
      <c r="C64" s="5" t="str">
        <f>IFERROR(__xludf.DUMMYFUNCTION("""COMPUTED_VALUE"""),"いちかわらいと")</f>
        <v>いちかわらいと</v>
      </c>
      <c r="D64" s="5">
        <f>IFERROR(__xludf.DUMMYFUNCTION("""COMPUTED_VALUE"""),3.0)</f>
        <v>3</v>
      </c>
      <c r="E64" s="5" t="str">
        <f>IFERROR(__xludf.DUMMYFUNCTION("""COMPUTED_VALUE"""),"男")</f>
        <v>男</v>
      </c>
      <c r="F64" s="5" t="str">
        <f>IFERROR(__xludf.DUMMYFUNCTION("""COMPUTED_VALUE"""),"MUA")</f>
        <v>MUA</v>
      </c>
      <c r="G64" s="5" t="str">
        <f>IFERROR(__xludf.DUMMYFUNCTION("""COMPUTED_VALUE"""),"○出場")</f>
        <v>○出場</v>
      </c>
      <c r="H64" s="5">
        <f>IFERROR(__xludf.DUMMYFUNCTION("""COMPUTED_VALUE"""),515777.0)</f>
        <v>515777</v>
      </c>
      <c r="I64" s="5" t="str">
        <f>IFERROR(__xludf.DUMMYFUNCTION("""COMPUTED_VALUE"""),"×参加しない")</f>
        <v>×参加しない</v>
      </c>
      <c r="J64" s="5"/>
      <c r="K64" s="12">
        <f t="shared" si="2"/>
        <v>1</v>
      </c>
    </row>
    <row r="65" ht="19.5" customHeight="1">
      <c r="A65" s="5">
        <f>IFERROR(__xludf.DUMMYFUNCTION("""COMPUTED_VALUE"""),140216.0)</f>
        <v>140216</v>
      </c>
      <c r="B65" s="5" t="str">
        <f>IFERROR(__xludf.DUMMYFUNCTION("""COMPUTED_VALUE"""),"鈴木応輔")</f>
        <v>鈴木応輔</v>
      </c>
      <c r="C65" s="5" t="str">
        <f>IFERROR(__xludf.DUMMYFUNCTION("""COMPUTED_VALUE"""),"すずきおうすけ")</f>
        <v>すずきおうすけ</v>
      </c>
      <c r="D65" s="5">
        <f>IFERROR(__xludf.DUMMYFUNCTION("""COMPUTED_VALUE"""),3.0)</f>
        <v>3</v>
      </c>
      <c r="E65" s="5" t="str">
        <f>IFERROR(__xludf.DUMMYFUNCTION("""COMPUTED_VALUE"""),"男")</f>
        <v>男</v>
      </c>
      <c r="F65" s="5" t="str">
        <f>IFERROR(__xludf.DUMMYFUNCTION("""COMPUTED_VALUE"""),"MUA")</f>
        <v>MUA</v>
      </c>
      <c r="G65" s="5" t="str">
        <f>IFERROR(__xludf.DUMMYFUNCTION("""COMPUTED_VALUE"""),"○出場")</f>
        <v>○出場</v>
      </c>
      <c r="H65" s="5">
        <f>IFERROR(__xludf.DUMMYFUNCTION("""COMPUTED_VALUE"""),515786.0)</f>
        <v>515786</v>
      </c>
      <c r="I65" s="5" t="str">
        <f>IFERROR(__xludf.DUMMYFUNCTION("""COMPUTED_VALUE"""),"×参加しない")</f>
        <v>×参加しない</v>
      </c>
      <c r="J65" s="5"/>
      <c r="K65" s="12">
        <f t="shared" si="2"/>
        <v>1</v>
      </c>
    </row>
    <row r="66" ht="19.5" customHeight="1">
      <c r="A66" s="5">
        <f>IFERROR(__xludf.DUMMYFUNCTION("""COMPUTED_VALUE"""),140217.0)</f>
        <v>140217</v>
      </c>
      <c r="B66" s="5" t="str">
        <f>IFERROR(__xludf.DUMMYFUNCTION("""COMPUTED_VALUE"""),"横井晃太")</f>
        <v>横井晃太</v>
      </c>
      <c r="C66" s="5" t="str">
        <f>IFERROR(__xludf.DUMMYFUNCTION("""COMPUTED_VALUE"""),"よこいこうた")</f>
        <v>よこいこうた</v>
      </c>
      <c r="D66" s="5">
        <f>IFERROR(__xludf.DUMMYFUNCTION("""COMPUTED_VALUE"""),3.0)</f>
        <v>3</v>
      </c>
      <c r="E66" s="5" t="str">
        <f>IFERROR(__xludf.DUMMYFUNCTION("""COMPUTED_VALUE"""),"男")</f>
        <v>男</v>
      </c>
      <c r="F66" s="5" t="str">
        <f>IFERROR(__xludf.DUMMYFUNCTION("""COMPUTED_VALUE"""),"MUA")</f>
        <v>MUA</v>
      </c>
      <c r="G66" s="5" t="str">
        <f>IFERROR(__xludf.DUMMYFUNCTION("""COMPUTED_VALUE"""),"○出場")</f>
        <v>○出場</v>
      </c>
      <c r="H66" s="5">
        <f>IFERROR(__xludf.DUMMYFUNCTION("""COMPUTED_VALUE"""),515787.0)</f>
        <v>515787</v>
      </c>
      <c r="I66" s="5" t="str">
        <f>IFERROR(__xludf.DUMMYFUNCTION("""COMPUTED_VALUE"""),"×参加しない")</f>
        <v>×参加しない</v>
      </c>
      <c r="J66" s="5"/>
      <c r="K66" s="12">
        <f t="shared" si="2"/>
        <v>1</v>
      </c>
    </row>
    <row r="67" ht="19.5" customHeight="1">
      <c r="A67" s="5">
        <f>IFERROR(__xludf.DUMMYFUNCTION("""COMPUTED_VALUE"""),140219.0)</f>
        <v>140219</v>
      </c>
      <c r="B67" s="5" t="str">
        <f>IFERROR(__xludf.DUMMYFUNCTION("""COMPUTED_VALUE"""),"山本ひより")</f>
        <v>山本ひより</v>
      </c>
      <c r="C67" s="5" t="str">
        <f>IFERROR(__xludf.DUMMYFUNCTION("""COMPUTED_VALUE"""),"やまもとひより")</f>
        <v>やまもとひより</v>
      </c>
      <c r="D67" s="5">
        <f>IFERROR(__xludf.DUMMYFUNCTION("""COMPUTED_VALUE"""),3.0)</f>
        <v>3</v>
      </c>
      <c r="E67" s="5" t="str">
        <f>IFERROR(__xludf.DUMMYFUNCTION("""COMPUTED_VALUE"""),"女")</f>
        <v>女</v>
      </c>
      <c r="F67" s="5" t="str">
        <f>IFERROR(__xludf.DUMMYFUNCTION("""COMPUTED_VALUE"""),"WUA")</f>
        <v>WUA</v>
      </c>
      <c r="G67" s="5" t="str">
        <f>IFERROR(__xludf.DUMMYFUNCTION("""COMPUTED_VALUE"""),"○出場")</f>
        <v>○出場</v>
      </c>
      <c r="H67" s="5">
        <f>IFERROR(__xludf.DUMMYFUNCTION("""COMPUTED_VALUE"""),515789.0)</f>
        <v>515789</v>
      </c>
      <c r="I67" s="5" t="str">
        <f>IFERROR(__xludf.DUMMYFUNCTION("""COMPUTED_VALUE"""),"×参加しない")</f>
        <v>×参加しない</v>
      </c>
      <c r="J67" s="5"/>
      <c r="K67" s="12">
        <f t="shared" si="2"/>
        <v>1</v>
      </c>
    </row>
    <row r="68" ht="19.5" customHeight="1">
      <c r="A68" s="5">
        <f>IFERROR(__xludf.DUMMYFUNCTION("""COMPUTED_VALUE"""),140220.0)</f>
        <v>140220</v>
      </c>
      <c r="B68" s="5" t="str">
        <f>IFERROR(__xludf.DUMMYFUNCTION("""COMPUTED_VALUE"""),"石川翔大")</f>
        <v>石川翔大</v>
      </c>
      <c r="C68" s="5" t="str">
        <f>IFERROR(__xludf.DUMMYFUNCTION("""COMPUTED_VALUE"""),"いしかわしょうた")</f>
        <v>いしかわしょうた</v>
      </c>
      <c r="D68" s="5">
        <f>IFERROR(__xludf.DUMMYFUNCTION("""COMPUTED_VALUE"""),3.0)</f>
        <v>3</v>
      </c>
      <c r="E68" s="5" t="str">
        <f>IFERROR(__xludf.DUMMYFUNCTION("""COMPUTED_VALUE"""),"男")</f>
        <v>男</v>
      </c>
      <c r="F68" s="5" t="str">
        <f>IFERROR(__xludf.DUMMYFUNCTION("""COMPUTED_VALUE"""),"MUA")</f>
        <v>MUA</v>
      </c>
      <c r="G68" s="5" t="str">
        <f>IFERROR(__xludf.DUMMYFUNCTION("""COMPUTED_VALUE"""),"×欠場")</f>
        <v>×欠場</v>
      </c>
      <c r="H68" s="5"/>
      <c r="I68" s="5" t="str">
        <f>IFERROR(__xludf.DUMMYFUNCTION("""COMPUTED_VALUE"""),"×参加しない")</f>
        <v>×参加しない</v>
      </c>
      <c r="J68" s="50">
        <f>IFERROR(__xludf.DUMMYFUNCTION("""COMPUTED_VALUE"""),45367.0)</f>
        <v>45367</v>
      </c>
      <c r="K68" s="12">
        <f t="shared" si="2"/>
        <v>1</v>
      </c>
    </row>
    <row r="69" ht="19.5" customHeight="1">
      <c r="A69" s="5">
        <f>IFERROR(__xludf.DUMMYFUNCTION("""COMPUTED_VALUE"""),140222.0)</f>
        <v>140222</v>
      </c>
      <c r="B69" s="5" t="str">
        <f>IFERROR(__xludf.DUMMYFUNCTION("""COMPUTED_VALUE"""),"山崎秀人")</f>
        <v>山崎秀人</v>
      </c>
      <c r="C69" s="5" t="str">
        <f>IFERROR(__xludf.DUMMYFUNCTION("""COMPUTED_VALUE"""),"やまさきしゅうと")</f>
        <v>やまさきしゅうと</v>
      </c>
      <c r="D69" s="5">
        <f>IFERROR(__xludf.DUMMYFUNCTION("""COMPUTED_VALUE"""),3.0)</f>
        <v>3</v>
      </c>
      <c r="E69" s="5" t="str">
        <f>IFERROR(__xludf.DUMMYFUNCTION("""COMPUTED_VALUE"""),"男")</f>
        <v>男</v>
      </c>
      <c r="F69" s="5" t="str">
        <f>IFERROR(__xludf.DUMMYFUNCTION("""COMPUTED_VALUE"""),"MUA")</f>
        <v>MUA</v>
      </c>
      <c r="G69" s="5" t="str">
        <f>IFERROR(__xludf.DUMMYFUNCTION("""COMPUTED_VALUE"""),"×欠場")</f>
        <v>×欠場</v>
      </c>
      <c r="H69" s="5">
        <f>IFERROR(__xludf.DUMMYFUNCTION("""COMPUTED_VALUE"""),515791.0)</f>
        <v>515791</v>
      </c>
      <c r="I69" s="5" t="str">
        <f>IFERROR(__xludf.DUMMYFUNCTION("""COMPUTED_VALUE"""),"×参加しない")</f>
        <v>×参加しない</v>
      </c>
      <c r="J69" s="50">
        <f>IFERROR(__xludf.DUMMYFUNCTION("""COMPUTED_VALUE"""),45367.0)</f>
        <v>45367</v>
      </c>
      <c r="K69" s="12">
        <f t="shared" si="2"/>
        <v>1</v>
      </c>
    </row>
    <row r="70" ht="19.5" customHeight="1">
      <c r="A70" s="5">
        <f>IFERROR(__xludf.DUMMYFUNCTION("""COMPUTED_VALUE"""),140226.0)</f>
        <v>140226</v>
      </c>
      <c r="B70" s="5" t="str">
        <f>IFERROR(__xludf.DUMMYFUNCTION("""COMPUTED_VALUE"""),"山本和毅")</f>
        <v>山本和毅</v>
      </c>
      <c r="C70" s="5" t="str">
        <f>IFERROR(__xludf.DUMMYFUNCTION("""COMPUTED_VALUE"""),"やまもとかずき")</f>
        <v>やまもとかずき</v>
      </c>
      <c r="D70" s="5">
        <f>IFERROR(__xludf.DUMMYFUNCTION("""COMPUTED_VALUE"""),3.0)</f>
        <v>3</v>
      </c>
      <c r="E70" s="5" t="str">
        <f>IFERROR(__xludf.DUMMYFUNCTION("""COMPUTED_VALUE"""),"男")</f>
        <v>男</v>
      </c>
      <c r="F70" s="5" t="str">
        <f>IFERROR(__xludf.DUMMYFUNCTION("""COMPUTED_VALUE"""),"MUA")</f>
        <v>MUA</v>
      </c>
      <c r="G70" s="5" t="str">
        <f>IFERROR(__xludf.DUMMYFUNCTION("""COMPUTED_VALUE"""),"×欠場")</f>
        <v>×欠場</v>
      </c>
      <c r="H70" s="5">
        <f>IFERROR(__xludf.DUMMYFUNCTION("""COMPUTED_VALUE"""),515793.0)</f>
        <v>515793</v>
      </c>
      <c r="I70" s="5" t="str">
        <f>IFERROR(__xludf.DUMMYFUNCTION("""COMPUTED_VALUE"""),"○参加する")</f>
        <v>○参加する</v>
      </c>
      <c r="J70" s="50">
        <f>IFERROR(__xludf.DUMMYFUNCTION("""COMPUTED_VALUE"""),45367.0)</f>
        <v>45367</v>
      </c>
      <c r="K70" s="12">
        <f t="shared" si="2"/>
        <v>1</v>
      </c>
    </row>
    <row r="71" ht="19.5" customHeight="1">
      <c r="A71" s="5">
        <f>IFERROR(__xludf.DUMMYFUNCTION("""COMPUTED_VALUE"""),140228.0)</f>
        <v>140228</v>
      </c>
      <c r="B71" s="5" t="str">
        <f>IFERROR(__xludf.DUMMYFUNCTION("""COMPUTED_VALUE"""),"吉丸穣")</f>
        <v>吉丸穣</v>
      </c>
      <c r="C71" s="5" t="str">
        <f>IFERROR(__xludf.DUMMYFUNCTION("""COMPUTED_VALUE"""),"よしまるじょう")</f>
        <v>よしまるじょう</v>
      </c>
      <c r="D71" s="5">
        <f>IFERROR(__xludf.DUMMYFUNCTION("""COMPUTED_VALUE"""),3.0)</f>
        <v>3</v>
      </c>
      <c r="E71" s="5" t="str">
        <f>IFERROR(__xludf.DUMMYFUNCTION("""COMPUTED_VALUE"""),"男")</f>
        <v>男</v>
      </c>
      <c r="F71" s="5" t="str">
        <f>IFERROR(__xludf.DUMMYFUNCTION("""COMPUTED_VALUE"""),"MUA")</f>
        <v>MUA</v>
      </c>
      <c r="G71" s="5" t="str">
        <f>IFERROR(__xludf.DUMMYFUNCTION("""COMPUTED_VALUE"""),"×欠場")</f>
        <v>×欠場</v>
      </c>
      <c r="H71" s="5">
        <f>IFERROR(__xludf.DUMMYFUNCTION("""COMPUTED_VALUE"""),515795.0)</f>
        <v>515795</v>
      </c>
      <c r="I71" s="5" t="str">
        <f>IFERROR(__xludf.DUMMYFUNCTION("""COMPUTED_VALUE"""),"×参加しない")</f>
        <v>×参加しない</v>
      </c>
      <c r="J71" s="50">
        <f>IFERROR(__xludf.DUMMYFUNCTION("""COMPUTED_VALUE"""),45367.0)</f>
        <v>45367</v>
      </c>
      <c r="K71" s="12">
        <f t="shared" si="2"/>
        <v>1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2.78"/>
    <col customWidth="1" min="2" max="2" width="7.0"/>
    <col customWidth="1" min="3" max="3" width="14.33"/>
    <col customWidth="1" min="4" max="4" width="7.0"/>
    <col customWidth="1" min="5" max="5" width="14.33"/>
    <col customWidth="1" min="6" max="6" width="14.56"/>
    <col customWidth="1" min="7" max="26" width="6.78"/>
  </cols>
  <sheetData>
    <row r="1" ht="14.25" customHeight="1">
      <c r="A1" s="43" t="s">
        <v>46</v>
      </c>
      <c r="B1" s="43" t="s">
        <v>16</v>
      </c>
      <c r="C1" s="43" t="s">
        <v>17</v>
      </c>
      <c r="D1" s="43" t="s">
        <v>19</v>
      </c>
      <c r="E1" s="43" t="s">
        <v>2183</v>
      </c>
      <c r="F1" s="43" t="s">
        <v>48</v>
      </c>
      <c r="G1" s="24" t="s">
        <v>2184</v>
      </c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ht="14.25" customHeight="1">
      <c r="A2" s="43" t="s">
        <v>0</v>
      </c>
      <c r="B2" s="43" t="s">
        <v>2185</v>
      </c>
      <c r="C2" s="43" t="s">
        <v>2186</v>
      </c>
      <c r="D2" s="43" t="s">
        <v>41</v>
      </c>
      <c r="E2" s="43" t="s">
        <v>2187</v>
      </c>
      <c r="F2" s="43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ht="14.25" customHeight="1">
      <c r="A3" s="43" t="s">
        <v>0</v>
      </c>
      <c r="B3" s="43" t="s">
        <v>2188</v>
      </c>
      <c r="C3" s="43" t="s">
        <v>2189</v>
      </c>
      <c r="D3" s="43" t="s">
        <v>41</v>
      </c>
      <c r="E3" s="43" t="s">
        <v>2187</v>
      </c>
      <c r="F3" s="43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ht="14.25" customHeight="1">
      <c r="A4" s="43" t="s">
        <v>139</v>
      </c>
      <c r="B4" s="43" t="s">
        <v>2190</v>
      </c>
      <c r="C4" s="43" t="s">
        <v>2191</v>
      </c>
      <c r="D4" s="43" t="s">
        <v>41</v>
      </c>
      <c r="E4" s="43" t="s">
        <v>2187</v>
      </c>
      <c r="F4" s="43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ht="14.25" customHeight="1">
      <c r="A5" s="43" t="s">
        <v>139</v>
      </c>
      <c r="B5" s="43" t="s">
        <v>2192</v>
      </c>
      <c r="C5" s="43" t="s">
        <v>2193</v>
      </c>
      <c r="D5" s="43" t="s">
        <v>41</v>
      </c>
      <c r="E5" s="43" t="s">
        <v>2187</v>
      </c>
      <c r="F5" s="43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ht="14.25" customHeight="1">
      <c r="A6" s="43" t="s">
        <v>139</v>
      </c>
      <c r="B6" s="43" t="s">
        <v>2194</v>
      </c>
      <c r="C6" s="43" t="s">
        <v>2195</v>
      </c>
      <c r="D6" s="43" t="s">
        <v>41</v>
      </c>
      <c r="E6" s="43" t="s">
        <v>2187</v>
      </c>
      <c r="F6" s="43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ht="14.25" customHeight="1">
      <c r="A7" s="43" t="s">
        <v>139</v>
      </c>
      <c r="B7" s="43" t="s">
        <v>2196</v>
      </c>
      <c r="C7" s="43" t="s">
        <v>2197</v>
      </c>
      <c r="D7" s="43" t="s">
        <v>41</v>
      </c>
      <c r="E7" s="43" t="s">
        <v>2187</v>
      </c>
      <c r="F7" s="43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ht="14.25" customHeight="1">
      <c r="A8" s="43" t="s">
        <v>329</v>
      </c>
      <c r="B8" s="43" t="s">
        <v>2198</v>
      </c>
      <c r="C8" s="43" t="s">
        <v>2199</v>
      </c>
      <c r="D8" s="43" t="s">
        <v>41</v>
      </c>
      <c r="E8" s="43" t="s">
        <v>2200</v>
      </c>
      <c r="F8" s="30" t="s">
        <v>332</v>
      </c>
      <c r="G8" s="43" t="s">
        <v>2201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ht="14.25" customHeight="1">
      <c r="A9" s="43" t="s">
        <v>427</v>
      </c>
      <c r="B9" s="43" t="s">
        <v>2202</v>
      </c>
      <c r="C9" s="43" t="s">
        <v>2203</v>
      </c>
      <c r="D9" s="43" t="s">
        <v>41</v>
      </c>
      <c r="E9" s="43" t="s">
        <v>2200</v>
      </c>
      <c r="F9" s="32" t="s">
        <v>430</v>
      </c>
      <c r="G9" s="43" t="s">
        <v>2201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ht="14.25" customHeight="1">
      <c r="A10" s="43" t="s">
        <v>427</v>
      </c>
      <c r="B10" s="43" t="s">
        <v>2204</v>
      </c>
      <c r="C10" s="43" t="s">
        <v>2205</v>
      </c>
      <c r="D10" s="43" t="s">
        <v>41</v>
      </c>
      <c r="E10" s="43" t="s">
        <v>2200</v>
      </c>
      <c r="F10" s="32" t="s">
        <v>430</v>
      </c>
      <c r="G10" s="43" t="s">
        <v>2201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ht="14.25" customHeight="1">
      <c r="A11" s="43" t="s">
        <v>427</v>
      </c>
      <c r="B11" s="43" t="s">
        <v>2206</v>
      </c>
      <c r="C11" s="43" t="s">
        <v>2207</v>
      </c>
      <c r="D11" s="43" t="s">
        <v>41</v>
      </c>
      <c r="E11" s="43" t="s">
        <v>2200</v>
      </c>
      <c r="F11" s="32" t="s">
        <v>430</v>
      </c>
      <c r="G11" s="43" t="s">
        <v>2201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ht="14.25" customHeight="1">
      <c r="A12" s="43" t="s">
        <v>427</v>
      </c>
      <c r="B12" s="43" t="s">
        <v>2208</v>
      </c>
      <c r="C12" s="43" t="s">
        <v>2209</v>
      </c>
      <c r="D12" s="43" t="s">
        <v>41</v>
      </c>
      <c r="E12" s="43" t="s">
        <v>2200</v>
      </c>
      <c r="F12" s="32" t="s">
        <v>430</v>
      </c>
      <c r="G12" s="43" t="s">
        <v>2201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ht="14.25" customHeight="1">
      <c r="A13" s="43" t="s">
        <v>467</v>
      </c>
      <c r="B13" s="43" t="s">
        <v>2210</v>
      </c>
      <c r="C13" s="43" t="s">
        <v>2211</v>
      </c>
      <c r="D13" s="43" t="s">
        <v>44</v>
      </c>
      <c r="E13" s="43" t="s">
        <v>2187</v>
      </c>
      <c r="F13" s="43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ht="14.25" customHeight="1">
      <c r="A14" s="43" t="s">
        <v>467</v>
      </c>
      <c r="B14" s="43" t="s">
        <v>2212</v>
      </c>
      <c r="C14" s="43" t="s">
        <v>2213</v>
      </c>
      <c r="D14" s="43" t="s">
        <v>41</v>
      </c>
      <c r="E14" s="43" t="s">
        <v>2187</v>
      </c>
      <c r="F14" s="43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ht="14.25" customHeight="1">
      <c r="A15" s="43" t="s">
        <v>482</v>
      </c>
      <c r="B15" s="43" t="s">
        <v>2214</v>
      </c>
      <c r="C15" s="43" t="s">
        <v>2215</v>
      </c>
      <c r="D15" s="43" t="s">
        <v>41</v>
      </c>
      <c r="E15" s="43" t="s">
        <v>2187</v>
      </c>
      <c r="F15" s="43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ht="14.25" customHeight="1">
      <c r="A16" s="43" t="s">
        <v>482</v>
      </c>
      <c r="B16" s="43" t="s">
        <v>2216</v>
      </c>
      <c r="C16" s="43" t="s">
        <v>2217</v>
      </c>
      <c r="D16" s="43" t="s">
        <v>41</v>
      </c>
      <c r="E16" s="43" t="s">
        <v>2200</v>
      </c>
      <c r="F16" s="44">
        <v>45366.0</v>
      </c>
      <c r="G16" s="40" t="s">
        <v>2218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ht="14.25" customHeight="1">
      <c r="A17" s="43" t="s">
        <v>482</v>
      </c>
      <c r="B17" s="43" t="s">
        <v>2219</v>
      </c>
      <c r="C17" s="43" t="s">
        <v>2220</v>
      </c>
      <c r="D17" s="43" t="s">
        <v>41</v>
      </c>
      <c r="E17" s="43" t="s">
        <v>2187</v>
      </c>
      <c r="F17" s="43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ht="14.25" customHeight="1">
      <c r="A18" s="43" t="s">
        <v>563</v>
      </c>
      <c r="B18" s="43" t="s">
        <v>2221</v>
      </c>
      <c r="C18" s="43" t="s">
        <v>2222</v>
      </c>
      <c r="D18" s="43" t="s">
        <v>41</v>
      </c>
      <c r="E18" s="43" t="s">
        <v>2187</v>
      </c>
      <c r="F18" s="43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ht="14.25" customHeight="1">
      <c r="A19" s="43" t="s">
        <v>563</v>
      </c>
      <c r="B19" s="43" t="s">
        <v>2223</v>
      </c>
      <c r="C19" s="43" t="s">
        <v>2224</v>
      </c>
      <c r="D19" s="43" t="s">
        <v>41</v>
      </c>
      <c r="E19" s="43" t="s">
        <v>2187</v>
      </c>
      <c r="F19" s="43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ht="14.25" customHeight="1">
      <c r="A20" s="43" t="s">
        <v>622</v>
      </c>
      <c r="B20" s="43" t="s">
        <v>2225</v>
      </c>
      <c r="C20" s="43" t="s">
        <v>2226</v>
      </c>
      <c r="D20" s="43" t="s">
        <v>41</v>
      </c>
      <c r="E20" s="43" t="s">
        <v>2187</v>
      </c>
      <c r="F20" s="43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ht="14.25" customHeight="1">
      <c r="A21" s="43" t="s">
        <v>622</v>
      </c>
      <c r="B21" s="43" t="s">
        <v>2227</v>
      </c>
      <c r="C21" s="43" t="s">
        <v>2228</v>
      </c>
      <c r="D21" s="43" t="s">
        <v>44</v>
      </c>
      <c r="E21" s="43" t="s">
        <v>2187</v>
      </c>
      <c r="F21" s="43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ht="14.25" customHeight="1">
      <c r="A22" s="43" t="s">
        <v>622</v>
      </c>
      <c r="B22" s="43" t="s">
        <v>2229</v>
      </c>
      <c r="C22" s="43" t="s">
        <v>2230</v>
      </c>
      <c r="D22" s="43" t="s">
        <v>41</v>
      </c>
      <c r="E22" s="43" t="s">
        <v>2187</v>
      </c>
      <c r="F22" s="43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ht="14.25" customHeight="1">
      <c r="A23" s="43" t="s">
        <v>622</v>
      </c>
      <c r="B23" s="43" t="s">
        <v>2231</v>
      </c>
      <c r="C23" s="43" t="s">
        <v>2232</v>
      </c>
      <c r="D23" s="43" t="s">
        <v>44</v>
      </c>
      <c r="E23" s="43" t="s">
        <v>2187</v>
      </c>
      <c r="F23" s="43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ht="14.25" customHeight="1">
      <c r="A24" s="43" t="s">
        <v>733</v>
      </c>
      <c r="B24" s="43" t="s">
        <v>2233</v>
      </c>
      <c r="C24" s="43" t="s">
        <v>2234</v>
      </c>
      <c r="D24" s="43" t="s">
        <v>41</v>
      </c>
      <c r="E24" s="43" t="s">
        <v>2187</v>
      </c>
      <c r="F24" s="43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ht="14.25" customHeight="1">
      <c r="A25" s="43" t="s">
        <v>733</v>
      </c>
      <c r="B25" s="43" t="s">
        <v>2235</v>
      </c>
      <c r="C25" s="43" t="s">
        <v>2236</v>
      </c>
      <c r="D25" s="43" t="s">
        <v>41</v>
      </c>
      <c r="E25" s="43" t="s">
        <v>2187</v>
      </c>
      <c r="F25" s="43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ht="14.25" customHeight="1">
      <c r="A26" s="43" t="s">
        <v>840</v>
      </c>
      <c r="B26" s="43" t="s">
        <v>2237</v>
      </c>
      <c r="C26" s="43" t="s">
        <v>2238</v>
      </c>
      <c r="D26" s="43" t="s">
        <v>41</v>
      </c>
      <c r="E26" s="43" t="s">
        <v>2187</v>
      </c>
      <c r="F26" s="43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ht="14.25" customHeight="1">
      <c r="A27" s="43" t="s">
        <v>847</v>
      </c>
      <c r="B27" s="43" t="s">
        <v>2239</v>
      </c>
      <c r="C27" s="43" t="s">
        <v>2240</v>
      </c>
      <c r="D27" s="43" t="s">
        <v>41</v>
      </c>
      <c r="E27" s="43" t="s">
        <v>2187</v>
      </c>
      <c r="F27" s="43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ht="14.25" customHeight="1">
      <c r="A28" s="43" t="s">
        <v>847</v>
      </c>
      <c r="B28" s="43" t="s">
        <v>2241</v>
      </c>
      <c r="C28" s="43" t="s">
        <v>2242</v>
      </c>
      <c r="D28" s="43" t="s">
        <v>44</v>
      </c>
      <c r="E28" s="43" t="s">
        <v>2187</v>
      </c>
      <c r="F28" s="43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ht="14.25" customHeight="1">
      <c r="A29" s="43" t="s">
        <v>926</v>
      </c>
      <c r="B29" s="43" t="s">
        <v>2243</v>
      </c>
      <c r="C29" s="43" t="s">
        <v>2244</v>
      </c>
      <c r="D29" s="43" t="s">
        <v>41</v>
      </c>
      <c r="E29" s="43" t="s">
        <v>2187</v>
      </c>
      <c r="F29" s="43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ht="14.25" customHeight="1">
      <c r="A30" s="43" t="s">
        <v>926</v>
      </c>
      <c r="B30" s="43" t="s">
        <v>2245</v>
      </c>
      <c r="C30" s="43" t="s">
        <v>2246</v>
      </c>
      <c r="D30" s="43" t="s">
        <v>41</v>
      </c>
      <c r="E30" s="43" t="s">
        <v>2187</v>
      </c>
      <c r="F30" s="43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ht="14.25" customHeight="1">
      <c r="A31" s="43" t="s">
        <v>926</v>
      </c>
      <c r="B31" s="43" t="s">
        <v>2247</v>
      </c>
      <c r="C31" s="43" t="s">
        <v>2248</v>
      </c>
      <c r="D31" s="43" t="s">
        <v>41</v>
      </c>
      <c r="E31" s="43" t="s">
        <v>2187</v>
      </c>
      <c r="F31" s="43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ht="14.25" customHeight="1">
      <c r="A32" s="43" t="s">
        <v>926</v>
      </c>
      <c r="B32" s="43" t="s">
        <v>2249</v>
      </c>
      <c r="C32" s="43" t="s">
        <v>2250</v>
      </c>
      <c r="D32" s="43" t="s">
        <v>41</v>
      </c>
      <c r="E32" s="43" t="s">
        <v>2187</v>
      </c>
      <c r="F32" s="43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ht="14.25" customHeight="1">
      <c r="A33" s="43" t="s">
        <v>943</v>
      </c>
      <c r="B33" s="43" t="s">
        <v>2251</v>
      </c>
      <c r="C33" s="43" t="s">
        <v>2252</v>
      </c>
      <c r="D33" s="43" t="s">
        <v>41</v>
      </c>
      <c r="E33" s="43" t="s">
        <v>2187</v>
      </c>
      <c r="F33" s="43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ht="14.25" customHeight="1">
      <c r="A34" s="43" t="s">
        <v>943</v>
      </c>
      <c r="B34" s="43" t="s">
        <v>2253</v>
      </c>
      <c r="C34" s="43" t="s">
        <v>2254</v>
      </c>
      <c r="D34" s="43" t="s">
        <v>41</v>
      </c>
      <c r="E34" s="43" t="s">
        <v>2187</v>
      </c>
      <c r="F34" s="43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ht="14.25" customHeight="1">
      <c r="A35" s="43" t="s">
        <v>1039</v>
      </c>
      <c r="B35" s="43" t="s">
        <v>2255</v>
      </c>
      <c r="C35" s="43" t="s">
        <v>2256</v>
      </c>
      <c r="D35" s="43" t="s">
        <v>41</v>
      </c>
      <c r="E35" s="43" t="s">
        <v>2187</v>
      </c>
      <c r="F35" s="43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ht="14.25" customHeight="1">
      <c r="A36" s="43" t="s">
        <v>1039</v>
      </c>
      <c r="B36" s="43" t="s">
        <v>2257</v>
      </c>
      <c r="C36" s="43" t="s">
        <v>2258</v>
      </c>
      <c r="D36" s="43" t="s">
        <v>41</v>
      </c>
      <c r="E36" s="43" t="s">
        <v>2187</v>
      </c>
      <c r="F36" s="43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ht="14.25" customHeight="1">
      <c r="A37" s="43" t="s">
        <v>1106</v>
      </c>
      <c r="B37" s="43" t="s">
        <v>2259</v>
      </c>
      <c r="C37" s="43" t="s">
        <v>2260</v>
      </c>
      <c r="D37" s="43" t="s">
        <v>41</v>
      </c>
      <c r="E37" s="43" t="s">
        <v>2187</v>
      </c>
      <c r="F37" s="43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ht="14.25" customHeight="1">
      <c r="A38" s="43" t="s">
        <v>1106</v>
      </c>
      <c r="B38" s="43" t="s">
        <v>2261</v>
      </c>
      <c r="C38" s="43" t="s">
        <v>2262</v>
      </c>
      <c r="D38" s="43" t="s">
        <v>44</v>
      </c>
      <c r="E38" s="43" t="s">
        <v>2187</v>
      </c>
      <c r="F38" s="43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ht="14.25" customHeight="1">
      <c r="A39" s="43" t="s">
        <v>1129</v>
      </c>
      <c r="B39" s="43" t="s">
        <v>2263</v>
      </c>
      <c r="C39" s="43" t="s">
        <v>2264</v>
      </c>
      <c r="D39" s="43" t="s">
        <v>41</v>
      </c>
      <c r="E39" s="43" t="s">
        <v>2187</v>
      </c>
      <c r="F39" s="43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ht="14.25" customHeight="1">
      <c r="A40" s="43" t="s">
        <v>1174</v>
      </c>
      <c r="B40" s="43" t="s">
        <v>2265</v>
      </c>
      <c r="C40" s="43" t="s">
        <v>2266</v>
      </c>
      <c r="D40" s="43" t="s">
        <v>41</v>
      </c>
      <c r="E40" s="43" t="s">
        <v>2200</v>
      </c>
      <c r="F40" s="43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ht="14.25" customHeight="1">
      <c r="A41" s="43" t="s">
        <v>1174</v>
      </c>
      <c r="B41" s="43" t="s">
        <v>2267</v>
      </c>
      <c r="C41" s="43" t="s">
        <v>2268</v>
      </c>
      <c r="D41" s="43" t="s">
        <v>44</v>
      </c>
      <c r="E41" s="43" t="s">
        <v>2200</v>
      </c>
      <c r="F41" s="43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ht="14.25" customHeight="1">
      <c r="A42" s="43" t="s">
        <v>1189</v>
      </c>
      <c r="B42" s="43" t="s">
        <v>2269</v>
      </c>
      <c r="C42" s="43" t="s">
        <v>2270</v>
      </c>
      <c r="D42" s="43" t="s">
        <v>41</v>
      </c>
      <c r="E42" s="43" t="s">
        <v>2187</v>
      </c>
      <c r="F42" s="43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ht="14.25" customHeight="1">
      <c r="A43" s="43" t="s">
        <v>1189</v>
      </c>
      <c r="B43" s="43" t="s">
        <v>2271</v>
      </c>
      <c r="C43" s="43" t="s">
        <v>2272</v>
      </c>
      <c r="D43" s="43" t="s">
        <v>41</v>
      </c>
      <c r="E43" s="43" t="s">
        <v>2187</v>
      </c>
      <c r="F43" s="43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ht="14.25" customHeight="1">
      <c r="A44" s="43" t="s">
        <v>1250</v>
      </c>
      <c r="B44" s="43" t="s">
        <v>2273</v>
      </c>
      <c r="C44" s="43" t="s">
        <v>2274</v>
      </c>
      <c r="D44" s="43" t="s">
        <v>44</v>
      </c>
      <c r="E44" s="43" t="s">
        <v>2187</v>
      </c>
      <c r="F44" s="43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ht="14.25" customHeight="1">
      <c r="A45" s="43" t="s">
        <v>1301</v>
      </c>
      <c r="B45" s="43" t="s">
        <v>2275</v>
      </c>
      <c r="C45" s="43" t="s">
        <v>2276</v>
      </c>
      <c r="D45" s="43" t="s">
        <v>41</v>
      </c>
      <c r="E45" s="43" t="s">
        <v>2187</v>
      </c>
      <c r="F45" s="43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ht="14.25" customHeight="1">
      <c r="A46" s="43" t="s">
        <v>1316</v>
      </c>
      <c r="B46" s="43" t="s">
        <v>2277</v>
      </c>
      <c r="C46" s="43" t="s">
        <v>2278</v>
      </c>
      <c r="D46" s="43" t="s">
        <v>41</v>
      </c>
      <c r="E46" s="43" t="s">
        <v>2187</v>
      </c>
      <c r="F46" s="43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ht="14.25" customHeight="1">
      <c r="A47" s="43" t="s">
        <v>1388</v>
      </c>
      <c r="B47" s="43" t="s">
        <v>2279</v>
      </c>
      <c r="C47" s="43" t="s">
        <v>2280</v>
      </c>
      <c r="D47" s="43" t="s">
        <v>41</v>
      </c>
      <c r="E47" s="43" t="s">
        <v>2187</v>
      </c>
      <c r="F47" s="43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ht="14.25" customHeight="1">
      <c r="A48" s="43" t="s">
        <v>1391</v>
      </c>
      <c r="B48" s="43" t="s">
        <v>2281</v>
      </c>
      <c r="C48" s="43" t="s">
        <v>2282</v>
      </c>
      <c r="D48" s="43" t="s">
        <v>41</v>
      </c>
      <c r="E48" s="43" t="s">
        <v>2200</v>
      </c>
      <c r="G48" s="43" t="s">
        <v>2201</v>
      </c>
      <c r="H48" s="26" t="s">
        <v>2283</v>
      </c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ht="14.25" customHeight="1">
      <c r="A49" s="43" t="s">
        <v>1391</v>
      </c>
      <c r="B49" s="43" t="s">
        <v>2284</v>
      </c>
      <c r="C49" s="43" t="s">
        <v>2285</v>
      </c>
      <c r="D49" s="43" t="s">
        <v>44</v>
      </c>
      <c r="E49" s="43" t="s">
        <v>2200</v>
      </c>
      <c r="F49" s="45">
        <v>45366.0</v>
      </c>
      <c r="G49" s="43" t="s">
        <v>2201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ht="14.25" customHeight="1">
      <c r="A50" s="43" t="s">
        <v>1485</v>
      </c>
      <c r="B50" s="43" t="s">
        <v>2286</v>
      </c>
      <c r="C50" s="43" t="s">
        <v>2287</v>
      </c>
      <c r="D50" s="43" t="s">
        <v>41</v>
      </c>
      <c r="E50" s="43" t="s">
        <v>2187</v>
      </c>
      <c r="F50" s="43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ht="14.25" customHeight="1">
      <c r="A51" s="43" t="s">
        <v>1485</v>
      </c>
      <c r="B51" s="43" t="s">
        <v>2288</v>
      </c>
      <c r="C51" s="43" t="s">
        <v>2289</v>
      </c>
      <c r="D51" s="43" t="s">
        <v>41</v>
      </c>
      <c r="E51" s="43" t="s">
        <v>2187</v>
      </c>
      <c r="F51" s="43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ht="14.25" customHeight="1">
      <c r="A52" s="43" t="s">
        <v>1485</v>
      </c>
      <c r="B52" s="43" t="s">
        <v>2290</v>
      </c>
      <c r="C52" s="43" t="s">
        <v>2291</v>
      </c>
      <c r="D52" s="43" t="s">
        <v>44</v>
      </c>
      <c r="E52" s="43" t="s">
        <v>2187</v>
      </c>
      <c r="F52" s="43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ht="14.25" customHeight="1">
      <c r="A53" s="43" t="s">
        <v>1485</v>
      </c>
      <c r="B53" s="43" t="s">
        <v>2292</v>
      </c>
      <c r="C53" s="43" t="s">
        <v>2293</v>
      </c>
      <c r="D53" s="43" t="s">
        <v>44</v>
      </c>
      <c r="E53" s="43" t="s">
        <v>2187</v>
      </c>
      <c r="F53" s="43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ht="14.25" customHeight="1">
      <c r="A54" s="43" t="s">
        <v>1605</v>
      </c>
      <c r="B54" s="43" t="s">
        <v>2294</v>
      </c>
      <c r="C54" s="43" t="s">
        <v>2295</v>
      </c>
      <c r="D54" s="43" t="s">
        <v>44</v>
      </c>
      <c r="E54" s="43" t="s">
        <v>2187</v>
      </c>
      <c r="F54" s="43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ht="14.25" customHeight="1">
      <c r="A55" s="43" t="s">
        <v>1636</v>
      </c>
      <c r="B55" s="43" t="s">
        <v>2296</v>
      </c>
      <c r="C55" s="43" t="s">
        <v>2297</v>
      </c>
      <c r="D55" s="43" t="s">
        <v>41</v>
      </c>
      <c r="E55" s="43" t="s">
        <v>2200</v>
      </c>
      <c r="F55" s="43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ht="14.25" customHeight="1">
      <c r="A56" s="43" t="s">
        <v>1636</v>
      </c>
      <c r="B56" s="43" t="s">
        <v>2298</v>
      </c>
      <c r="C56" s="43" t="s">
        <v>2299</v>
      </c>
      <c r="D56" s="43" t="s">
        <v>41</v>
      </c>
      <c r="E56" s="43" t="s">
        <v>2187</v>
      </c>
      <c r="F56" s="43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ht="14.25" customHeight="1">
      <c r="A57" s="43" t="s">
        <v>1699</v>
      </c>
      <c r="B57" s="43" t="s">
        <v>2300</v>
      </c>
      <c r="C57" s="43" t="s">
        <v>2301</v>
      </c>
      <c r="D57" s="43" t="s">
        <v>41</v>
      </c>
      <c r="E57" s="43" t="s">
        <v>2187</v>
      </c>
      <c r="F57" s="43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ht="14.25" customHeight="1">
      <c r="A58" s="43" t="s">
        <v>1699</v>
      </c>
      <c r="B58" s="43" t="s">
        <v>2302</v>
      </c>
      <c r="C58" s="43" t="s">
        <v>2303</v>
      </c>
      <c r="D58" s="43" t="s">
        <v>44</v>
      </c>
      <c r="E58" s="43" t="s">
        <v>2187</v>
      </c>
      <c r="F58" s="43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ht="14.25" customHeight="1">
      <c r="A59" s="43" t="s">
        <v>1699</v>
      </c>
      <c r="B59" s="43" t="s">
        <v>2304</v>
      </c>
      <c r="C59" s="43" t="s">
        <v>2305</v>
      </c>
      <c r="D59" s="43" t="s">
        <v>41</v>
      </c>
      <c r="E59" s="43" t="s">
        <v>2187</v>
      </c>
      <c r="F59" s="43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ht="14.25" customHeight="1">
      <c r="A60" s="43" t="s">
        <v>1699</v>
      </c>
      <c r="B60" s="43" t="s">
        <v>2306</v>
      </c>
      <c r="C60" s="43" t="s">
        <v>2307</v>
      </c>
      <c r="D60" s="43" t="s">
        <v>41</v>
      </c>
      <c r="E60" s="43" t="s">
        <v>2187</v>
      </c>
      <c r="F60" s="43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ht="14.25" customHeight="1">
      <c r="A61" s="43" t="s">
        <v>1864</v>
      </c>
      <c r="B61" s="43" t="s">
        <v>2308</v>
      </c>
      <c r="C61" s="43" t="s">
        <v>2309</v>
      </c>
      <c r="D61" s="43" t="s">
        <v>44</v>
      </c>
      <c r="E61" s="43" t="s">
        <v>2187</v>
      </c>
      <c r="F61" s="43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ht="14.25" customHeight="1">
      <c r="A62" s="43" t="s">
        <v>1864</v>
      </c>
      <c r="B62" s="43" t="s">
        <v>2310</v>
      </c>
      <c r="C62" s="43" t="s">
        <v>2311</v>
      </c>
      <c r="D62" s="43" t="s">
        <v>41</v>
      </c>
      <c r="E62" s="43" t="s">
        <v>2187</v>
      </c>
      <c r="F62" s="43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ht="14.25" customHeight="1">
      <c r="A63" s="43" t="s">
        <v>1919</v>
      </c>
      <c r="B63" s="43" t="s">
        <v>2312</v>
      </c>
      <c r="C63" s="43" t="s">
        <v>2313</v>
      </c>
      <c r="D63" s="43" t="s">
        <v>41</v>
      </c>
      <c r="E63" s="43" t="s">
        <v>2187</v>
      </c>
      <c r="F63" s="43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ht="14.25" customHeight="1">
      <c r="A64" s="43" t="s">
        <v>2044</v>
      </c>
      <c r="B64" s="43" t="s">
        <v>2314</v>
      </c>
      <c r="C64" s="43" t="s">
        <v>2315</v>
      </c>
      <c r="D64" s="43" t="s">
        <v>44</v>
      </c>
      <c r="E64" s="43" t="s">
        <v>2187</v>
      </c>
      <c r="F64" s="43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ht="14.25" customHeight="1">
      <c r="A65" s="43" t="s">
        <v>2134</v>
      </c>
      <c r="B65" s="43" t="s">
        <v>2316</v>
      </c>
      <c r="C65" s="43" t="s">
        <v>2317</v>
      </c>
      <c r="D65" s="43" t="s">
        <v>41</v>
      </c>
      <c r="E65" s="43" t="s">
        <v>2187</v>
      </c>
      <c r="F65" s="43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ht="14.2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ht="14.2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ht="14.2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ht="14.2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ht="14.2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ht="14.2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ht="14.2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ht="14.2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ht="14.2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ht="14.2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ht="14.2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ht="14.2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ht="14.2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ht="14.2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ht="14.2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ht="14.2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ht="14.2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ht="14.2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ht="14.2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ht="14.2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ht="14.2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ht="14.2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ht="14.2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ht="14.2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ht="14.2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ht="14.2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ht="14.2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ht="14.2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ht="14.2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ht="14.2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ht="14.2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ht="14.2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ht="14.2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ht="14.2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ht="14.2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ht="14.2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ht="14.2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ht="14.2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ht="14.2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ht="14.2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ht="14.2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ht="14.2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ht="14.2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ht="14.2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ht="14.2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ht="14.2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ht="14.2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ht="14.2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ht="14.2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ht="14.2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ht="14.2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ht="14.2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ht="14.2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ht="14.2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ht="14.2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ht="14.2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ht="14.2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ht="14.2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ht="14.2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ht="14.2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ht="14.2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ht="14.2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ht="14.2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ht="14.2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ht="14.2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ht="14.2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ht="14.2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ht="14.2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ht="14.2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ht="14.2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ht="14.2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ht="14.2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ht="14.2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ht="14.2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ht="14.2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ht="14.2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ht="14.2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ht="14.2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ht="14.2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ht="14.2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ht="14.2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ht="14.2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ht="14.2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ht="14.2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ht="14.2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ht="14.2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ht="14.2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ht="14.2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ht="14.2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ht="14.2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ht="14.2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ht="14.2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ht="14.2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ht="14.2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ht="14.2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ht="14.2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ht="14.2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ht="14.2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ht="14.2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ht="14.2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ht="14.2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ht="14.2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ht="14.2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ht="14.2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ht="14.2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ht="14.2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ht="14.2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ht="14.2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ht="14.2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ht="14.2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ht="14.2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ht="14.2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ht="14.2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ht="14.2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ht="14.2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ht="14.2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ht="14.2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ht="14.2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ht="14.2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ht="14.2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ht="14.2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ht="14.2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ht="14.2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ht="14.2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ht="14.2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ht="14.2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ht="14.2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ht="14.2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ht="14.2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ht="14.2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ht="14.2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ht="14.2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ht="14.2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ht="14.2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ht="14.2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ht="14.2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ht="14.2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ht="14.2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ht="14.2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ht="14.2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ht="14.2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ht="14.2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ht="14.2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ht="14.2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ht="14.2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ht="14.2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ht="14.2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ht="14.2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ht="14.2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ht="14.2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ht="14.2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ht="14.2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ht="14.2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ht="14.2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ht="14.2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ht="14.2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ht="14.2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ht="14.2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ht="14.2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ht="14.2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ht="14.2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ht="14.2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ht="14.2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ht="14.2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ht="14.2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ht="14.2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ht="14.2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ht="14.2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ht="14.2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ht="14.2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ht="14.2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ht="14.2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ht="14.2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ht="14.2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ht="14.2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ht="14.2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ht="14.2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ht="14.2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ht="14.2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ht="14.2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ht="14.2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ht="14.2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ht="14.2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ht="14.2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ht="14.2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ht="14.2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ht="14.2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ht="14.2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ht="14.2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ht="14.2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ht="14.2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ht="14.2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ht="14.2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ht="14.2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ht="14.2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ht="14.2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ht="14.2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ht="14.2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ht="14.2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ht="14.2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ht="14.2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ht="14.2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ht="14.2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ht="14.2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ht="14.2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ht="14.2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ht="14.2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ht="14.2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ht="14.2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ht="14.2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ht="14.2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ht="14.2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ht="14.2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ht="14.2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ht="14.2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ht="14.2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ht="14.2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ht="14.2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ht="14.2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ht="14.2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ht="14.2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ht="14.2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ht="14.2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ht="14.2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ht="14.2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ht="14.2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ht="14.2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ht="14.2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ht="14.2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ht="14.2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ht="14.2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ht="14.2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ht="14.2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ht="14.2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ht="14.2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ht="14.2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ht="14.2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ht="14.2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ht="14.2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ht="14.2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ht="14.2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ht="14.2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ht="14.2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ht="14.2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ht="14.2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ht="14.2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ht="14.2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ht="14.2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ht="14.2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ht="14.2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ht="14.2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ht="14.2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ht="14.2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ht="14.2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ht="14.2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ht="14.2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ht="14.2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ht="14.2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ht="14.2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ht="14.2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ht="14.2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ht="14.2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ht="14.2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ht="14.2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ht="14.2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ht="14.2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ht="14.2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ht="14.2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ht="14.2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ht="14.2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ht="14.2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ht="14.2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ht="14.2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ht="14.2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ht="14.2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ht="14.2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ht="14.2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ht="14.2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ht="14.2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ht="14.2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ht="14.2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ht="14.2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ht="14.2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ht="14.2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ht="14.2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ht="14.2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ht="14.2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ht="14.2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ht="14.2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ht="14.2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ht="14.2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ht="14.2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ht="14.2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ht="14.2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ht="14.2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ht="14.2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ht="14.2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ht="14.2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ht="14.2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ht="14.2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ht="14.2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ht="14.2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ht="14.2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ht="14.2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ht="14.2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ht="14.2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ht="14.2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ht="14.2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ht="14.2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ht="14.2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ht="14.2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ht="14.2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ht="14.2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ht="14.2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ht="14.2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ht="14.2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ht="14.2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ht="14.2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ht="14.2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ht="14.2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ht="14.2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ht="14.2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ht="14.2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ht="14.2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ht="14.2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ht="14.2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ht="14.2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ht="14.2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ht="14.2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ht="14.2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ht="14.2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ht="14.2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ht="14.2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ht="14.2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ht="14.2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ht="14.2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ht="14.2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ht="14.2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ht="14.2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ht="14.2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ht="14.2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ht="14.2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ht="14.2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ht="14.2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ht="14.2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ht="14.2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ht="14.2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ht="14.2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ht="14.2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ht="14.2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ht="14.2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ht="14.2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ht="14.2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ht="14.2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ht="14.2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ht="14.2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ht="14.2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ht="14.2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ht="14.2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ht="14.2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ht="14.2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ht="14.2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ht="14.2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ht="14.2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ht="14.2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ht="14.2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ht="14.2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ht="14.2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ht="14.2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ht="14.2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ht="14.2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ht="14.2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ht="14.2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ht="14.2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ht="14.2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ht="14.2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ht="14.2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ht="14.2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ht="14.2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ht="14.2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ht="14.2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ht="14.2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ht="14.2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ht="14.2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ht="14.2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ht="14.2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ht="14.2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ht="14.2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ht="14.2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ht="14.2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ht="14.2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ht="14.2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ht="14.2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ht="14.2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ht="14.2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ht="14.2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ht="14.2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ht="14.2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ht="14.2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ht="14.2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ht="14.2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ht="14.2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ht="14.2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ht="14.2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ht="14.2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ht="14.2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ht="14.2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ht="14.2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ht="14.2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ht="14.2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ht="14.2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ht="14.2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ht="14.2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ht="14.2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ht="14.2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ht="14.2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ht="14.2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ht="14.2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ht="14.2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ht="14.2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ht="14.2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ht="14.2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ht="14.2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ht="14.2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ht="14.2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ht="14.2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ht="14.2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ht="14.2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ht="14.2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ht="14.2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ht="14.2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ht="14.2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ht="14.2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ht="14.2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ht="14.2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ht="14.2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ht="14.2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ht="14.2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ht="14.2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ht="14.2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ht="14.2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ht="14.2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ht="14.2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ht="14.2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ht="14.2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ht="14.2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ht="14.2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ht="14.2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ht="14.2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ht="14.2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ht="14.2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ht="14.2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ht="14.2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ht="14.2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ht="14.2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ht="14.2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ht="14.2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ht="14.2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ht="14.2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ht="14.2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ht="14.2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ht="14.2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ht="14.2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ht="14.2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ht="14.2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ht="14.2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ht="14.2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ht="14.2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ht="14.2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ht="14.2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ht="14.2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ht="14.2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ht="14.2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ht="14.2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ht="14.2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ht="14.2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ht="14.2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ht="14.2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ht="14.2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ht="14.2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ht="14.2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ht="14.2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ht="14.2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ht="14.2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ht="14.2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ht="14.2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ht="14.2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ht="14.2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ht="14.2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ht="14.2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ht="14.2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ht="14.2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ht="14.2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ht="14.2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ht="14.2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ht="14.2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ht="14.2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ht="14.2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ht="14.2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ht="14.2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ht="14.2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ht="14.2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ht="14.2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ht="14.2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ht="14.2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ht="14.2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ht="14.2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ht="14.2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ht="14.2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ht="14.2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ht="14.2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ht="14.2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ht="14.2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ht="14.2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ht="14.2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ht="14.2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ht="14.2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ht="14.2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ht="14.2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ht="14.2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ht="14.2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ht="14.2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ht="14.2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ht="14.2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ht="14.2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ht="14.2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ht="14.2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ht="14.2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ht="14.2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ht="14.2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ht="14.2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ht="14.2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ht="14.2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ht="14.2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ht="14.2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ht="14.2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ht="14.2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ht="14.2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ht="14.2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ht="14.2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ht="14.2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ht="14.2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ht="14.2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ht="14.2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ht="14.2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ht="14.2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ht="14.2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ht="14.2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ht="14.2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ht="14.2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ht="14.2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ht="14.2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ht="14.2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ht="14.2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ht="14.2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ht="14.2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ht="14.2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ht="14.2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ht="14.2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ht="14.2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ht="14.2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ht="14.2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ht="14.2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ht="14.2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ht="14.2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ht="14.2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ht="14.2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ht="14.2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ht="14.2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ht="14.2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ht="14.2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ht="14.2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ht="14.2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ht="14.2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ht="14.2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ht="14.2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ht="14.2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ht="14.2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ht="14.2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ht="14.2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ht="14.2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ht="14.2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ht="14.2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ht="14.2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ht="14.2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ht="14.2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ht="14.2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ht="14.2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ht="14.2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ht="14.2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ht="14.2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ht="14.2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ht="14.2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ht="14.2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ht="14.2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ht="14.2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ht="14.2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ht="14.2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ht="14.2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ht="14.2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ht="14.2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ht="14.2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ht="14.2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ht="14.2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ht="14.2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ht="14.2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ht="14.2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ht="14.2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ht="14.2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ht="14.2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ht="14.2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ht="14.2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ht="14.2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ht="14.2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ht="14.2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ht="14.2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ht="14.2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ht="14.2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ht="14.2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ht="14.2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ht="14.2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ht="14.2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ht="14.2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ht="14.2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ht="14.2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ht="14.2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ht="14.2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ht="14.2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ht="14.2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ht="14.2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ht="14.2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ht="14.2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ht="14.2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ht="14.2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ht="14.2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ht="14.2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ht="14.2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ht="14.2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ht="14.2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ht="14.2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ht="14.2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ht="14.2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ht="14.2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ht="14.2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ht="14.2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ht="14.2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ht="14.2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ht="14.2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ht="14.2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ht="14.2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ht="14.2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ht="14.2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ht="14.2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ht="14.2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ht="14.2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ht="14.2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ht="14.2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ht="14.2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ht="14.2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ht="14.2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ht="14.2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ht="14.2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ht="14.2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ht="14.2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ht="14.2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ht="14.2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ht="14.2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ht="14.2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ht="14.2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ht="14.2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ht="14.2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ht="14.2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ht="14.2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ht="14.2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ht="14.2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ht="14.2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ht="14.2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ht="14.2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ht="14.2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ht="14.2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ht="14.2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ht="14.2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ht="14.2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ht="14.2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ht="14.2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ht="14.2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ht="14.2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ht="14.2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ht="14.2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ht="14.2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ht="14.2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ht="14.2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ht="14.2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ht="14.2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ht="14.2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ht="14.2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ht="14.2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ht="14.2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ht="14.2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ht="14.2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ht="14.2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ht="14.2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ht="14.2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ht="14.2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ht="14.2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ht="14.2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ht="14.2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ht="14.2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ht="14.2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ht="14.2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ht="14.2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ht="14.2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ht="14.2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ht="14.2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ht="14.2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ht="14.2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ht="14.2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ht="14.2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ht="14.2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ht="14.2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ht="14.2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ht="14.2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ht="14.2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ht="14.2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ht="14.2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ht="14.2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ht="14.2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ht="14.2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ht="14.2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ht="14.2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ht="14.2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ht="14.2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ht="14.2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ht="14.2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ht="14.2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ht="14.2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ht="14.2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ht="14.2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ht="14.2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ht="14.2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ht="14.2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ht="14.2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ht="14.2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ht="14.2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ht="14.2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ht="14.2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ht="14.2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ht="14.2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ht="14.2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ht="14.2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ht="14.2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ht="14.2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ht="14.2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ht="14.2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ht="14.2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ht="14.2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ht="14.2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ht="14.2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ht="14.2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ht="14.2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ht="14.2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ht="14.2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ht="14.2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ht="14.2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ht="14.2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ht="14.2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ht="14.2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ht="14.2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ht="14.2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ht="14.2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ht="14.2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ht="14.2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ht="14.2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ht="14.2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ht="14.2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ht="14.2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ht="14.2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ht="14.2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ht="14.2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ht="14.2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ht="14.2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ht="14.2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ht="14.2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ht="14.2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ht="14.2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ht="14.2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ht="14.2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ht="14.2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ht="14.2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ht="14.2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ht="14.2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ht="14.2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ht="14.2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ht="14.2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ht="14.2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ht="14.2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ht="14.2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ht="14.2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ht="14.2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ht="14.2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ht="14.2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ht="14.2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ht="14.2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ht="14.2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ht="14.2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ht="14.2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ht="14.2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ht="14.2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ht="14.2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ht="14.2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ht="14.2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ht="14.2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ht="14.2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ht="14.2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ht="14.2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ht="14.2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ht="14.2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ht="14.2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ht="14.2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ht="14.2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ht="14.2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ht="14.2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ht="14.2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ht="14.2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ht="14.2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ht="14.2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ht="14.2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ht="14.2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ht="14.2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ht="14.2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ht="14.2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ht="14.2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ht="14.2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ht="14.2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ht="14.2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ht="14.2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ht="14.2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ht="14.2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ht="14.2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ht="14.2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ht="14.2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ht="14.2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ht="14.2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ht="14.2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ht="14.2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ht="14.2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ht="14.2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ht="14.2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ht="14.2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ht="14.2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ht="14.2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ht="14.2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ht="14.2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ht="14.2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ht="14.2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ht="14.2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ht="14.2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ht="14.2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ht="14.2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ht="14.2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ht="14.2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ht="14.2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ht="14.2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ht="14.2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ht="14.2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ht="14.2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ht="14.2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ht="14.2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ht="14.2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ht="14.2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ht="14.2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ht="14.2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ht="14.2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ht="14.2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ht="14.2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ht="14.2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ht="14.2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ht="14.2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ht="14.2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ht="14.2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ht="14.2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ht="14.2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ht="14.2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ht="14.2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ht="14.2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ht="14.2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ht="14.2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ht="14.2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ht="14.2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ht="14.2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ht="14.2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ht="14.2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ht="14.2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ht="14.2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ht="14.2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ht="14.2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ht="14.2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ht="14.2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ht="14.2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ht="14.2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ht="14.2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ht="14.2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ht="14.2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ht="14.2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ht="14.2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ht="14.2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ht="14.2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ht="14.2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ht="14.2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ht="14.2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ht="14.2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ht="14.2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ht="14.2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ht="14.2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ht="14.2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ht="14.2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ht="14.2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ht="14.2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ht="14.2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ht="14.2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ht="14.2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ht="14.2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ht="14.2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ht="14.2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ht="14.2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ht="14.2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ht="14.2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ht="14.2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ht="14.2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ht="14.2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ht="14.2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ht="14.2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ht="14.2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ht="14.2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ht="14.2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printOptions/>
  <pageMargins bottom="0.75" footer="0.0" header="0.0" left="0.7" right="0.7" top="0.75"/>
  <pageSetup orientation="landscape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1602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1</v>
      </c>
      <c r="E4" s="7">
        <f t="shared" ref="E4:E8" si="1">C4*D4</f>
        <v>8500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0</v>
      </c>
      <c r="E5" s="7">
        <f t="shared" si="1"/>
        <v>0</v>
      </c>
    </row>
    <row r="6" ht="19.5" customHeight="1">
      <c r="A6" s="2" t="s">
        <v>9</v>
      </c>
      <c r="B6" s="4"/>
      <c r="C6" s="7">
        <v>32700.0</v>
      </c>
      <c r="D6" s="5">
        <f>D4+D5</f>
        <v>1</v>
      </c>
      <c r="E6" s="7">
        <f t="shared" si="1"/>
        <v>32700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0</v>
      </c>
      <c r="E7" s="7">
        <f t="shared" si="1"/>
        <v>0</v>
      </c>
    </row>
    <row r="8" ht="19.5" customHeight="1">
      <c r="A8" s="2" t="s">
        <v>11</v>
      </c>
      <c r="B8" s="4"/>
      <c r="C8" s="7">
        <v>500.0</v>
      </c>
      <c r="D8" s="5">
        <f>D4-COUNT(H14:H201)</f>
        <v>0</v>
      </c>
      <c r="E8" s="7">
        <f t="shared" si="1"/>
        <v>0</v>
      </c>
    </row>
    <row r="9" ht="19.5" customHeight="1">
      <c r="A9" s="9"/>
      <c r="B9" s="9"/>
      <c r="C9" s="9"/>
      <c r="D9" s="10" t="s">
        <v>5</v>
      </c>
      <c r="E9" s="11">
        <f>SUM(E4:E8)</f>
        <v>41200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IFERROR(__xludf.DUMMYFUNCTION("FILTER('個人別エントリー'!C2:L1018,'個人別エントリー'!B2:B1018=A1)"),244301.0)</f>
        <v>244301</v>
      </c>
      <c r="B14" s="5" t="str">
        <f>IFERROR(__xludf.DUMMYFUNCTION("""COMPUTED_VALUE"""),"庄司ひな")</f>
        <v>庄司ひな</v>
      </c>
      <c r="C14" s="5" t="str">
        <f>IFERROR(__xludf.DUMMYFUNCTION("""COMPUTED_VALUE"""),"しょうじひな")</f>
        <v>しょうじひな</v>
      </c>
      <c r="D14" s="5">
        <f>IFERROR(__xludf.DUMMYFUNCTION("""COMPUTED_VALUE"""),2.0)</f>
        <v>2</v>
      </c>
      <c r="E14" s="5" t="str">
        <f>IFERROR(__xludf.DUMMYFUNCTION("""COMPUTED_VALUE"""),"女")</f>
        <v>女</v>
      </c>
      <c r="F14" s="5" t="str">
        <f>IFERROR(__xludf.DUMMYFUNCTION("""COMPUTED_VALUE"""),"WUB")</f>
        <v>WUB</v>
      </c>
      <c r="G14" s="5" t="str">
        <f>IFERROR(__xludf.DUMMYFUNCTION("""COMPUTED_VALUE"""),"×欠場")</f>
        <v>×欠場</v>
      </c>
      <c r="H14" s="5">
        <f>IFERROR(__xludf.DUMMYFUNCTION("""COMPUTED_VALUE"""),524002.0)</f>
        <v>524002</v>
      </c>
      <c r="I14" s="5" t="str">
        <f>IFERROR(__xludf.DUMMYFUNCTION("""COMPUTED_VALUE"""),"×参加しない")</f>
        <v>×参加しない</v>
      </c>
      <c r="J14" s="50">
        <f>IFERROR(__xludf.DUMMYFUNCTION("""COMPUTED_VALUE"""),45367.0)</f>
        <v>45367</v>
      </c>
      <c r="K14" s="12">
        <f t="shared" ref="K14:K201" si="2">IF(AND(OR(F14="×欠場",F14=""),OR(G14="×欠場",G14="")),0,1)</f>
        <v>1</v>
      </c>
      <c r="M14" s="5" t="str">
        <f>IFERROR(__xludf.DUMMYFUNCTION("FILTER('リレー内容'!$C$2:$K$51,'リレー内容'!$B$2:$B$51=A1)"),"×欠場")</f>
        <v>×欠場</v>
      </c>
      <c r="N14" s="5" t="str">
        <f>IFERROR(__xludf.DUMMYFUNCTION("""COMPUTED_VALUE"""),"×欠場")</f>
        <v>×欠場</v>
      </c>
      <c r="O14" s="5">
        <f>IFERROR(__xludf.DUMMYFUNCTION("""COMPUTED_VALUE"""),0.0)</f>
        <v>0</v>
      </c>
      <c r="P14" s="5">
        <f>IFERROR(__xludf.DUMMYFUNCTION("""COMPUTED_VALUE"""),0.0)</f>
        <v>0</v>
      </c>
      <c r="Q14" s="5">
        <f>IFERROR(__xludf.DUMMYFUNCTION("""COMPUTED_VALUE"""),0.0)</f>
        <v>0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12">
        <f t="shared" si="2"/>
        <v>0</v>
      </c>
    </row>
    <row r="16" ht="19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12">
        <f t="shared" si="2"/>
        <v>0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12">
        <f t="shared" si="2"/>
        <v>0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12">
        <f t="shared" si="2"/>
        <v>0</v>
      </c>
      <c r="M18" s="5"/>
      <c r="N18" s="2"/>
      <c r="O18" s="4"/>
      <c r="P18" s="2"/>
      <c r="Q18" s="3"/>
      <c r="R18" s="3"/>
      <c r="S18" s="3"/>
      <c r="T18" s="3"/>
      <c r="U18" s="4"/>
    </row>
    <row r="19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12">
        <f t="shared" si="2"/>
        <v>0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12">
        <f t="shared" si="2"/>
        <v>0</v>
      </c>
    </row>
    <row r="21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12">
        <f t="shared" si="2"/>
        <v>0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2">
        <f t="shared" si="2"/>
        <v>0</v>
      </c>
      <c r="M23" s="2"/>
      <c r="N23" s="4"/>
      <c r="O23" s="2"/>
      <c r="P23" s="3"/>
      <c r="Q23" s="5"/>
      <c r="R23" s="2"/>
      <c r="S23" s="4"/>
      <c r="T23" s="14"/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2">
        <f t="shared" si="2"/>
        <v>0</v>
      </c>
      <c r="M24" s="2"/>
      <c r="N24" s="4"/>
      <c r="O24" s="2"/>
      <c r="P24" s="3"/>
      <c r="Q24" s="5"/>
      <c r="R24" s="2"/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12">
        <f t="shared" si="2"/>
        <v>0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12">
        <f t="shared" si="2"/>
        <v>0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12">
        <f t="shared" si="2"/>
        <v>0</v>
      </c>
    </row>
    <row r="28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12">
        <f t="shared" si="2"/>
        <v>0</v>
      </c>
    </row>
    <row r="29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12">
        <f t="shared" si="2"/>
        <v>0</v>
      </c>
    </row>
    <row r="3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12">
        <f t="shared" si="2"/>
        <v>0</v>
      </c>
    </row>
    <row r="31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12">
        <f t="shared" si="2"/>
        <v>0</v>
      </c>
    </row>
    <row r="32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12">
        <f t="shared" si="2"/>
        <v>0</v>
      </c>
    </row>
    <row r="33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12">
        <f t="shared" si="2"/>
        <v>0</v>
      </c>
    </row>
    <row r="34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12">
        <f t="shared" si="2"/>
        <v>0</v>
      </c>
    </row>
    <row r="3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12">
        <f t="shared" si="2"/>
        <v>0</v>
      </c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12">
        <f t="shared" si="2"/>
        <v>0</v>
      </c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12">
        <f t="shared" si="2"/>
        <v>0</v>
      </c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12">
        <f t="shared" si="2"/>
        <v>0</v>
      </c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12">
        <f t="shared" si="2"/>
        <v>0</v>
      </c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12">
        <f t="shared" si="2"/>
        <v>0</v>
      </c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12">
        <f t="shared" si="2"/>
        <v>0</v>
      </c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12">
        <f t="shared" si="2"/>
        <v>0</v>
      </c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12">
        <f t="shared" si="2"/>
        <v>0</v>
      </c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12">
        <f t="shared" si="2"/>
        <v>0</v>
      </c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2">
        <f t="shared" si="2"/>
        <v>0</v>
      </c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2">
        <f t="shared" si="2"/>
        <v>0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1605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5</v>
      </c>
      <c r="E4" s="7">
        <f t="shared" ref="E4:E8" si="1">C4*D4</f>
        <v>42500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1</v>
      </c>
      <c r="E5" s="7">
        <f t="shared" si="1"/>
        <v>8000</v>
      </c>
    </row>
    <row r="6" ht="19.5" customHeight="1">
      <c r="A6" s="2" t="s">
        <v>9</v>
      </c>
      <c r="B6" s="4"/>
      <c r="C6" s="7">
        <v>32700.0</v>
      </c>
      <c r="D6" s="5">
        <f>D4+D5</f>
        <v>6</v>
      </c>
      <c r="E6" s="7">
        <f t="shared" si="1"/>
        <v>196200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1</v>
      </c>
      <c r="E7" s="7">
        <f t="shared" si="1"/>
        <v>4500</v>
      </c>
    </row>
    <row r="8" ht="19.5" customHeight="1">
      <c r="A8" s="2" t="s">
        <v>11</v>
      </c>
      <c r="B8" s="4"/>
      <c r="C8" s="7">
        <v>500.0</v>
      </c>
      <c r="D8" s="5">
        <f>D4-COUNT(H14:H201)</f>
        <v>1</v>
      </c>
      <c r="E8" s="7">
        <f t="shared" si="1"/>
        <v>500</v>
      </c>
    </row>
    <row r="9" ht="19.5" customHeight="1">
      <c r="A9" s="9"/>
      <c r="B9" s="9"/>
      <c r="C9" s="9"/>
      <c r="D9" s="10" t="s">
        <v>5</v>
      </c>
      <c r="E9" s="11">
        <f>SUM(E4:E8)</f>
        <v>251700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IFERROR(__xludf.DUMMYFUNCTION("FILTER('個人別エントリー'!C2:L1018,'個人別エントリー'!B2:B1018=A1)"),344401.0)</f>
        <v>344401</v>
      </c>
      <c r="B14" s="5" t="str">
        <f>IFERROR(__xludf.DUMMYFUNCTION("""COMPUTED_VALUE"""),"杉浦　怜奈")</f>
        <v>杉浦　怜奈</v>
      </c>
      <c r="C14" s="5" t="str">
        <f>IFERROR(__xludf.DUMMYFUNCTION("""COMPUTED_VALUE"""),"すぎうら　れいな")</f>
        <v>すぎうら　れいな</v>
      </c>
      <c r="D14" s="5">
        <f>IFERROR(__xludf.DUMMYFUNCTION("""COMPUTED_VALUE"""),1.0)</f>
        <v>1</v>
      </c>
      <c r="E14" s="5" t="str">
        <f>IFERROR(__xludf.DUMMYFUNCTION("""COMPUTED_VALUE"""),"女")</f>
        <v>女</v>
      </c>
      <c r="F14" s="5" t="str">
        <f>IFERROR(__xludf.DUMMYFUNCTION("""COMPUTED_VALUE"""),"×欠場")</f>
        <v>×欠場</v>
      </c>
      <c r="G14" s="5" t="str">
        <f>IFERROR(__xludf.DUMMYFUNCTION("""COMPUTED_VALUE"""),"×欠場")</f>
        <v>×欠場</v>
      </c>
      <c r="H14" s="5"/>
      <c r="I14" s="5" t="str">
        <f>IFERROR(__xludf.DUMMYFUNCTION("""COMPUTED_VALUE"""),"×参加しない")</f>
        <v>×参加しない</v>
      </c>
      <c r="J14" s="5"/>
      <c r="K14" s="12">
        <f t="shared" ref="K14:K201" si="2">IF(AND(OR(F14="×欠場",F14=""),OR(G14="×欠場",G14="")),0,1)</f>
        <v>0</v>
      </c>
      <c r="M14" s="5" t="str">
        <f>IFERROR(__xludf.DUMMYFUNCTION("FILTER('リレー内容'!$C$2:$K$51,'リレー内容'!$B$2:$B$51=A1)"),"×欠場")</f>
        <v>×欠場</v>
      </c>
      <c r="N14" s="5" t="str">
        <f>IFERROR(__xludf.DUMMYFUNCTION("""COMPUTED_VALUE"""),"○出場")</f>
        <v>○出場</v>
      </c>
      <c r="O14" s="5">
        <f>IFERROR(__xludf.DUMMYFUNCTION("""COMPUTED_VALUE"""),0.0)</f>
        <v>0</v>
      </c>
      <c r="P14" s="5">
        <f>IFERROR(__xludf.DUMMYFUNCTION("""COMPUTED_VALUE"""),1.0)</f>
        <v>1</v>
      </c>
      <c r="Q14" s="5">
        <f>IFERROR(__xludf.DUMMYFUNCTION("""COMPUTED_VALUE"""),0.0)</f>
        <v>0</v>
      </c>
      <c r="R14" s="5">
        <f>IFERROR(__xludf.DUMMYFUNCTION("""COMPUTED_VALUE"""),0.0)</f>
        <v>0</v>
      </c>
      <c r="S14" s="5">
        <f>IFERROR(__xludf.DUMMYFUNCTION("""COMPUTED_VALUE"""),2.0)</f>
        <v>2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IFERROR(__xludf.DUMMYFUNCTION("""COMPUTED_VALUE"""),344402.0)</f>
        <v>344402</v>
      </c>
      <c r="B15" s="5" t="str">
        <f>IFERROR(__xludf.DUMMYFUNCTION("""COMPUTED_VALUE"""),"福井　未空")</f>
        <v>福井　未空</v>
      </c>
      <c r="C15" s="5" t="str">
        <f>IFERROR(__xludf.DUMMYFUNCTION("""COMPUTED_VALUE"""),"ふくい　みく")</f>
        <v>ふくい　みく</v>
      </c>
      <c r="D15" s="5">
        <f>IFERROR(__xludf.DUMMYFUNCTION("""COMPUTED_VALUE"""),1.0)</f>
        <v>1</v>
      </c>
      <c r="E15" s="5" t="str">
        <f>IFERROR(__xludf.DUMMYFUNCTION("""COMPUTED_VALUE"""),"女")</f>
        <v>女</v>
      </c>
      <c r="F15" s="5" t="str">
        <f>IFERROR(__xludf.DUMMYFUNCTION("""COMPUTED_VALUE"""),"×欠場")</f>
        <v>×欠場</v>
      </c>
      <c r="G15" s="5" t="str">
        <f>IFERROR(__xludf.DUMMYFUNCTION("""COMPUTED_VALUE"""),"×欠場")</f>
        <v>×欠場</v>
      </c>
      <c r="H15" s="5"/>
      <c r="I15" s="5" t="str">
        <f>IFERROR(__xludf.DUMMYFUNCTION("""COMPUTED_VALUE"""),"×参加しない")</f>
        <v>×参加しない</v>
      </c>
      <c r="J15" s="5"/>
      <c r="K15" s="12">
        <f t="shared" si="2"/>
        <v>0</v>
      </c>
    </row>
    <row r="16" ht="19.5" customHeight="1">
      <c r="A16" s="5">
        <f>IFERROR(__xludf.DUMMYFUNCTION("""COMPUTED_VALUE"""),344403.0)</f>
        <v>344403</v>
      </c>
      <c r="B16" s="5" t="str">
        <f>IFERROR(__xludf.DUMMYFUNCTION("""COMPUTED_VALUE"""),"高木　もね")</f>
        <v>高木　もね</v>
      </c>
      <c r="C16" s="5" t="str">
        <f>IFERROR(__xludf.DUMMYFUNCTION("""COMPUTED_VALUE"""),"たかぎ　もね")</f>
        <v>たかぎ　もね</v>
      </c>
      <c r="D16" s="5">
        <f>IFERROR(__xludf.DUMMYFUNCTION("""COMPUTED_VALUE"""),1.0)</f>
        <v>1</v>
      </c>
      <c r="E16" s="5" t="str">
        <f>IFERROR(__xludf.DUMMYFUNCTION("""COMPUTED_VALUE"""),"女")</f>
        <v>女</v>
      </c>
      <c r="F16" s="5" t="str">
        <f>IFERROR(__xludf.DUMMYFUNCTION("""COMPUTED_VALUE"""),"×欠場")</f>
        <v>×欠場</v>
      </c>
      <c r="G16" s="5" t="str">
        <f>IFERROR(__xludf.DUMMYFUNCTION("""COMPUTED_VALUE"""),"×欠場")</f>
        <v>×欠場</v>
      </c>
      <c r="H16" s="5"/>
      <c r="I16" s="5" t="str">
        <f>IFERROR(__xludf.DUMMYFUNCTION("""COMPUTED_VALUE"""),"×参加しない")</f>
        <v>×参加しない</v>
      </c>
      <c r="J16" s="5"/>
      <c r="K16" s="12">
        <f t="shared" si="2"/>
        <v>0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>
        <f>IFERROR(__xludf.DUMMYFUNCTION("""COMPUTED_VALUE"""),344404.0)</f>
        <v>344404</v>
      </c>
      <c r="B17" s="5" t="str">
        <f>IFERROR(__xludf.DUMMYFUNCTION("""COMPUTED_VALUE"""),"栗山　千奈")</f>
        <v>栗山　千奈</v>
      </c>
      <c r="C17" s="5" t="str">
        <f>IFERROR(__xludf.DUMMYFUNCTION("""COMPUTED_VALUE"""),"くりやま　ちな")</f>
        <v>くりやま　ちな</v>
      </c>
      <c r="D17" s="5">
        <f>IFERROR(__xludf.DUMMYFUNCTION("""COMPUTED_VALUE"""),1.0)</f>
        <v>1</v>
      </c>
      <c r="E17" s="5" t="str">
        <f>IFERROR(__xludf.DUMMYFUNCTION("""COMPUTED_VALUE"""),"女")</f>
        <v>女</v>
      </c>
      <c r="F17" s="5" t="str">
        <f>IFERROR(__xludf.DUMMYFUNCTION("""COMPUTED_VALUE"""),"×欠場")</f>
        <v>×欠場</v>
      </c>
      <c r="G17" s="5" t="str">
        <f>IFERROR(__xludf.DUMMYFUNCTION("""COMPUTED_VALUE"""),"×欠場")</f>
        <v>×欠場</v>
      </c>
      <c r="H17" s="5"/>
      <c r="I17" s="5" t="str">
        <f>IFERROR(__xludf.DUMMYFUNCTION("""COMPUTED_VALUE"""),"×参加しない")</f>
        <v>×参加しない</v>
      </c>
      <c r="J17" s="5"/>
      <c r="K17" s="12">
        <f t="shared" si="2"/>
        <v>0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>
        <f>IFERROR(__xludf.DUMMYFUNCTION("""COMPUTED_VALUE"""),244401.0)</f>
        <v>244401</v>
      </c>
      <c r="B18" s="5" t="str">
        <f>IFERROR(__xludf.DUMMYFUNCTION("""COMPUTED_VALUE"""),"本田 紬")</f>
        <v>本田 紬</v>
      </c>
      <c r="C18" s="5" t="str">
        <f>IFERROR(__xludf.DUMMYFUNCTION("""COMPUTED_VALUE"""),"ほんだ つむぎ")</f>
        <v>ほんだ つむぎ</v>
      </c>
      <c r="D18" s="5">
        <f>IFERROR(__xludf.DUMMYFUNCTION("""COMPUTED_VALUE"""),2.0)</f>
        <v>2</v>
      </c>
      <c r="E18" s="5" t="str">
        <f>IFERROR(__xludf.DUMMYFUNCTION("""COMPUTED_VALUE"""),"女")</f>
        <v>女</v>
      </c>
      <c r="F18" s="5" t="str">
        <f>IFERROR(__xludf.DUMMYFUNCTION("""COMPUTED_VALUE"""),"×欠場")</f>
        <v>×欠場</v>
      </c>
      <c r="G18" s="5" t="str">
        <f>IFERROR(__xludf.DUMMYFUNCTION("""COMPUTED_VALUE"""),"×欠場")</f>
        <v>×欠場</v>
      </c>
      <c r="H18" s="5"/>
      <c r="I18" s="5" t="str">
        <f>IFERROR(__xludf.DUMMYFUNCTION("""COMPUTED_VALUE"""),"×参加しない")</f>
        <v>×参加しない</v>
      </c>
      <c r="J18" s="5"/>
      <c r="K18" s="12">
        <f t="shared" si="2"/>
        <v>0</v>
      </c>
      <c r="M18" s="5"/>
      <c r="N18" s="2"/>
      <c r="O18" s="4"/>
      <c r="P18" s="2"/>
      <c r="Q18" s="3"/>
      <c r="R18" s="3"/>
      <c r="S18" s="3"/>
      <c r="T18" s="3"/>
      <c r="U18" s="4"/>
    </row>
    <row r="19" ht="19.5" customHeight="1">
      <c r="A19" s="5">
        <f>IFERROR(__xludf.DUMMYFUNCTION("""COMPUTED_VALUE"""),244402.0)</f>
        <v>244402</v>
      </c>
      <c r="B19" s="5" t="str">
        <f>IFERROR(__xludf.DUMMYFUNCTION("""COMPUTED_VALUE"""),"澤村 春奈")</f>
        <v>澤村 春奈</v>
      </c>
      <c r="C19" s="5" t="str">
        <f>IFERROR(__xludf.DUMMYFUNCTION("""COMPUTED_VALUE"""),"さわむら はるな")</f>
        <v>さわむら はるな</v>
      </c>
      <c r="D19" s="5">
        <f>IFERROR(__xludf.DUMMYFUNCTION("""COMPUTED_VALUE"""),2.0)</f>
        <v>2</v>
      </c>
      <c r="E19" s="5" t="str">
        <f>IFERROR(__xludf.DUMMYFUNCTION("""COMPUTED_VALUE"""),"女")</f>
        <v>女</v>
      </c>
      <c r="F19" s="5" t="str">
        <f>IFERROR(__xludf.DUMMYFUNCTION("""COMPUTED_VALUE"""),"×欠場")</f>
        <v>×欠場</v>
      </c>
      <c r="G19" s="5" t="str">
        <f>IFERROR(__xludf.DUMMYFUNCTION("""COMPUTED_VALUE"""),"×欠場")</f>
        <v>×欠場</v>
      </c>
      <c r="H19" s="5"/>
      <c r="I19" s="5" t="str">
        <f>IFERROR(__xludf.DUMMYFUNCTION("""COMPUTED_VALUE"""),"×参加しない")</f>
        <v>×参加しない</v>
      </c>
      <c r="J19" s="5"/>
      <c r="K19" s="12">
        <f t="shared" si="2"/>
        <v>0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>
        <f>IFERROR(__xludf.DUMMYFUNCTION("""COMPUTED_VALUE"""),244403.0)</f>
        <v>244403</v>
      </c>
      <c r="B20" s="5" t="str">
        <f>IFERROR(__xludf.DUMMYFUNCTION("""COMPUTED_VALUE"""),"高田 麻由")</f>
        <v>高田 麻由</v>
      </c>
      <c r="C20" s="5" t="str">
        <f>IFERROR(__xludf.DUMMYFUNCTION("""COMPUTED_VALUE"""),"たかだ まゆ")</f>
        <v>たかだ まゆ</v>
      </c>
      <c r="D20" s="5">
        <f>IFERROR(__xludf.DUMMYFUNCTION("""COMPUTED_VALUE"""),2.0)</f>
        <v>2</v>
      </c>
      <c r="E20" s="5" t="str">
        <f>IFERROR(__xludf.DUMMYFUNCTION("""COMPUTED_VALUE"""),"女")</f>
        <v>女</v>
      </c>
      <c r="F20" s="5" t="str">
        <f>IFERROR(__xludf.DUMMYFUNCTION("""COMPUTED_VALUE"""),"×欠場")</f>
        <v>×欠場</v>
      </c>
      <c r="G20" s="5" t="str">
        <f>IFERROR(__xludf.DUMMYFUNCTION("""COMPUTED_VALUE"""),"×欠場")</f>
        <v>×欠場</v>
      </c>
      <c r="H20" s="5"/>
      <c r="I20" s="5" t="str">
        <f>IFERROR(__xludf.DUMMYFUNCTION("""COMPUTED_VALUE"""),"×参加しない")</f>
        <v>×参加しない</v>
      </c>
      <c r="J20" s="5"/>
      <c r="K20" s="12">
        <f t="shared" si="2"/>
        <v>0</v>
      </c>
    </row>
    <row r="21" ht="19.5" customHeight="1">
      <c r="A21" s="5">
        <f>IFERROR(__xludf.DUMMYFUNCTION("""COMPUTED_VALUE"""),244405.0)</f>
        <v>244405</v>
      </c>
      <c r="B21" s="5" t="str">
        <f>IFERROR(__xludf.DUMMYFUNCTION("""COMPUTED_VALUE"""),"櫻井 香帆")</f>
        <v>櫻井 香帆</v>
      </c>
      <c r="C21" s="5" t="str">
        <f>IFERROR(__xludf.DUMMYFUNCTION("""COMPUTED_VALUE"""),"さくらい かほ")</f>
        <v>さくらい かほ</v>
      </c>
      <c r="D21" s="5">
        <f>IFERROR(__xludf.DUMMYFUNCTION("""COMPUTED_VALUE"""),2.0)</f>
        <v>2</v>
      </c>
      <c r="E21" s="5" t="str">
        <f>IFERROR(__xludf.DUMMYFUNCTION("""COMPUTED_VALUE"""),"女")</f>
        <v>女</v>
      </c>
      <c r="F21" s="5" t="str">
        <f>IFERROR(__xludf.DUMMYFUNCTION("""COMPUTED_VALUE"""),"×欠場")</f>
        <v>×欠場</v>
      </c>
      <c r="G21" s="5" t="str">
        <f>IFERROR(__xludf.DUMMYFUNCTION("""COMPUTED_VALUE"""),"×欠場")</f>
        <v>×欠場</v>
      </c>
      <c r="H21" s="5"/>
      <c r="I21" s="5" t="str">
        <f>IFERROR(__xludf.DUMMYFUNCTION("""COMPUTED_VALUE"""),"×参加しない")</f>
        <v>×参加しない</v>
      </c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>
        <f>IFERROR(__xludf.DUMMYFUNCTION("""COMPUTED_VALUE"""),144401.0)</f>
        <v>144401</v>
      </c>
      <c r="B22" s="5" t="str">
        <f>IFERROR(__xludf.DUMMYFUNCTION("""COMPUTED_VALUE"""),"野崎琴乃")</f>
        <v>野崎琴乃</v>
      </c>
      <c r="C22" s="5" t="str">
        <f>IFERROR(__xludf.DUMMYFUNCTION("""COMPUTED_VALUE"""),"のざきことの")</f>
        <v>のざきことの</v>
      </c>
      <c r="D22" s="5">
        <f>IFERROR(__xludf.DUMMYFUNCTION("""COMPUTED_VALUE"""),3.0)</f>
        <v>3</v>
      </c>
      <c r="E22" s="5" t="str">
        <f>IFERROR(__xludf.DUMMYFUNCTION("""COMPUTED_VALUE"""),"女")</f>
        <v>女</v>
      </c>
      <c r="F22" s="5" t="str">
        <f>IFERROR(__xludf.DUMMYFUNCTION("""COMPUTED_VALUE"""),"WUA")</f>
        <v>WUA</v>
      </c>
      <c r="G22" s="5" t="str">
        <f>IFERROR(__xludf.DUMMYFUNCTION("""COMPUTED_VALUE"""),"○出場")</f>
        <v>○出場</v>
      </c>
      <c r="H22" s="5">
        <f>IFERROR(__xludf.DUMMYFUNCTION("""COMPUTED_VALUE"""),513254.0)</f>
        <v>513254</v>
      </c>
      <c r="I22" s="5" t="str">
        <f>IFERROR(__xludf.DUMMYFUNCTION("""COMPUTED_VALUE"""),"×参加しない")</f>
        <v>×参加しない</v>
      </c>
      <c r="J22" s="50">
        <f>IFERROR(__xludf.DUMMYFUNCTION("""COMPUTED_VALUE"""),45366.0)</f>
        <v>45366</v>
      </c>
      <c r="K22" s="12">
        <f t="shared" si="2"/>
        <v>1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>
        <f>IFERROR(__xludf.DUMMYFUNCTION("""COMPUTED_VALUE"""),144402.0)</f>
        <v>144402</v>
      </c>
      <c r="B23" s="5" t="str">
        <f>IFERROR(__xludf.DUMMYFUNCTION("""COMPUTED_VALUE"""),"牧花音")</f>
        <v>牧花音</v>
      </c>
      <c r="C23" s="5" t="str">
        <f>IFERROR(__xludf.DUMMYFUNCTION("""COMPUTED_VALUE"""),"まきかのん")</f>
        <v>まきかのん</v>
      </c>
      <c r="D23" s="5">
        <f>IFERROR(__xludf.DUMMYFUNCTION("""COMPUTED_VALUE"""),3.0)</f>
        <v>3</v>
      </c>
      <c r="E23" s="5" t="str">
        <f>IFERROR(__xludf.DUMMYFUNCTION("""COMPUTED_VALUE"""),"女")</f>
        <v>女</v>
      </c>
      <c r="F23" s="5" t="str">
        <f>IFERROR(__xludf.DUMMYFUNCTION("""COMPUTED_VALUE"""),"WUA")</f>
        <v>WUA</v>
      </c>
      <c r="G23" s="5" t="str">
        <f>IFERROR(__xludf.DUMMYFUNCTION("""COMPUTED_VALUE"""),"○出場")</f>
        <v>○出場</v>
      </c>
      <c r="H23" s="5">
        <f>IFERROR(__xludf.DUMMYFUNCTION("""COMPUTED_VALUE"""),257841.0)</f>
        <v>257841</v>
      </c>
      <c r="I23" s="5" t="str">
        <f>IFERROR(__xludf.DUMMYFUNCTION("""COMPUTED_VALUE"""),"×参加しない")</f>
        <v>×参加しない</v>
      </c>
      <c r="J23" s="50">
        <f>IFERROR(__xludf.DUMMYFUNCTION("""COMPUTED_VALUE"""),45366.0)</f>
        <v>45366</v>
      </c>
      <c r="K23" s="12">
        <f t="shared" si="2"/>
        <v>1</v>
      </c>
      <c r="M23" s="2" t="str">
        <f>IFERROR(__xludf.DUMMYFUNCTION("FILTER('オフィシャル'!$B$2:$B$65,'オフィシャル'!$A$2:$A$65=A1)"),"須本みずほ")</f>
        <v>須本みずほ</v>
      </c>
      <c r="N23" s="4"/>
      <c r="O23" s="2" t="str">
        <f>IFERROR(__xludf.DUMMYFUNCTION("FILTER('オフィシャル'!$C$2:$C$65,'オフィシャル'!$A$2:$A$65=A1)"),"すもとみずほ")</f>
        <v>すもとみずほ</v>
      </c>
      <c r="P23" s="3"/>
      <c r="Q23" s="5" t="str">
        <f>IFERROR(__xludf.DUMMYFUNCTION("FILTER('オフィシャル'!$D$2:$D$65,'オフィシャル'!$A$2:$A$65=A1)"),"女")</f>
        <v>女</v>
      </c>
      <c r="R23" s="2" t="str">
        <f>IFERROR(__xludf.DUMMYFUNCTION("FILTER('オフィシャル'!$E$2:$E$65,'オフィシャル'!$A$2:$A$65=A1)"),"○する")</f>
        <v>○する</v>
      </c>
      <c r="S23" s="4"/>
      <c r="T23" s="14" t="str">
        <f>IFERROR(__xludf.DUMMYFUNCTION("FILTER('オフィシャル'!$F$2:$F$65,'オフィシャル'!$A$2:$A$65=A1)"),"")</f>
        <v/>
      </c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>
        <f>IFERROR(__xludf.DUMMYFUNCTION("""COMPUTED_VALUE"""),144403.0)</f>
        <v>144403</v>
      </c>
      <c r="B24" s="5" t="str">
        <f>IFERROR(__xludf.DUMMYFUNCTION("""COMPUTED_VALUE"""),"西山由里那")</f>
        <v>西山由里那</v>
      </c>
      <c r="C24" s="5" t="str">
        <f>IFERROR(__xludf.DUMMYFUNCTION("""COMPUTED_VALUE"""),"にしやまゆりな")</f>
        <v>にしやまゆりな</v>
      </c>
      <c r="D24" s="5">
        <f>IFERROR(__xludf.DUMMYFUNCTION("""COMPUTED_VALUE"""),3.0)</f>
        <v>3</v>
      </c>
      <c r="E24" s="5" t="str">
        <f>IFERROR(__xludf.DUMMYFUNCTION("""COMPUTED_VALUE"""),"女")</f>
        <v>女</v>
      </c>
      <c r="F24" s="5" t="str">
        <f>IFERROR(__xludf.DUMMYFUNCTION("""COMPUTED_VALUE"""),"×欠場")</f>
        <v>×欠場</v>
      </c>
      <c r="G24" s="5" t="str">
        <f>IFERROR(__xludf.DUMMYFUNCTION("""COMPUTED_VALUE"""),"×欠場")</f>
        <v>×欠場</v>
      </c>
      <c r="H24" s="5"/>
      <c r="I24" s="5" t="str">
        <f>IFERROR(__xludf.DUMMYFUNCTION("""COMPUTED_VALUE"""),"×参加しない")</f>
        <v>×参加しない</v>
      </c>
      <c r="J24" s="5"/>
      <c r="K24" s="12">
        <f t="shared" si="2"/>
        <v>0</v>
      </c>
      <c r="M24" s="2"/>
      <c r="N24" s="4"/>
      <c r="O24" s="2"/>
      <c r="P24" s="3"/>
      <c r="Q24" s="5"/>
      <c r="R24" s="2"/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>
        <f>IFERROR(__xludf.DUMMYFUNCTION("""COMPUTED_VALUE"""),144404.0)</f>
        <v>144404</v>
      </c>
      <c r="B25" s="5" t="str">
        <f>IFERROR(__xludf.DUMMYFUNCTION("""COMPUTED_VALUE"""),"小野希美")</f>
        <v>小野希美</v>
      </c>
      <c r="C25" s="5" t="str">
        <f>IFERROR(__xludf.DUMMYFUNCTION("""COMPUTED_VALUE"""),"おののぞみ")</f>
        <v>おののぞみ</v>
      </c>
      <c r="D25" s="5">
        <f>IFERROR(__xludf.DUMMYFUNCTION("""COMPUTED_VALUE"""),3.0)</f>
        <v>3</v>
      </c>
      <c r="E25" s="5" t="str">
        <f>IFERROR(__xludf.DUMMYFUNCTION("""COMPUTED_VALUE"""),"女")</f>
        <v>女</v>
      </c>
      <c r="F25" s="5" t="str">
        <f>IFERROR(__xludf.DUMMYFUNCTION("""COMPUTED_VALUE"""),"×欠場")</f>
        <v>×欠場</v>
      </c>
      <c r="G25" s="5" t="str">
        <f>IFERROR(__xludf.DUMMYFUNCTION("""COMPUTED_VALUE"""),"○出場")</f>
        <v>○出場</v>
      </c>
      <c r="H25" s="5"/>
      <c r="I25" s="5" t="str">
        <f>IFERROR(__xludf.DUMMYFUNCTION("""COMPUTED_VALUE"""),"×参加しない")</f>
        <v>×参加しない</v>
      </c>
      <c r="J25" s="50">
        <f>IFERROR(__xludf.DUMMYFUNCTION("""COMPUTED_VALUE"""),45366.0)</f>
        <v>45366</v>
      </c>
      <c r="K25" s="12">
        <f t="shared" si="2"/>
        <v>1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>
        <f>IFERROR(__xludf.DUMMYFUNCTION("""COMPUTED_VALUE"""),144406.0)</f>
        <v>144406</v>
      </c>
      <c r="B26" s="5" t="str">
        <f>IFERROR(__xludf.DUMMYFUNCTION("""COMPUTED_VALUE"""),"吉田栞里")</f>
        <v>吉田栞里</v>
      </c>
      <c r="C26" s="5" t="str">
        <f>IFERROR(__xludf.DUMMYFUNCTION("""COMPUTED_VALUE"""),"よしだしおり")</f>
        <v>よしだしおり</v>
      </c>
      <c r="D26" s="5">
        <f>IFERROR(__xludf.DUMMYFUNCTION("""COMPUTED_VALUE"""),3.0)</f>
        <v>3</v>
      </c>
      <c r="E26" s="5" t="str">
        <f>IFERROR(__xludf.DUMMYFUNCTION("""COMPUTED_VALUE"""),"女")</f>
        <v>女</v>
      </c>
      <c r="F26" s="5" t="str">
        <f>IFERROR(__xludf.DUMMYFUNCTION("""COMPUTED_VALUE"""),"WUA")</f>
        <v>WUA</v>
      </c>
      <c r="G26" s="5" t="str">
        <f>IFERROR(__xludf.DUMMYFUNCTION("""COMPUTED_VALUE"""),"○出場")</f>
        <v>○出場</v>
      </c>
      <c r="H26" s="5">
        <f>IFERROR(__xludf.DUMMYFUNCTION("""COMPUTED_VALUE"""),255122.0)</f>
        <v>255122</v>
      </c>
      <c r="I26" s="5" t="str">
        <f>IFERROR(__xludf.DUMMYFUNCTION("""COMPUTED_VALUE"""),"×参加しない")</f>
        <v>×参加しない</v>
      </c>
      <c r="J26" s="50">
        <f>IFERROR(__xludf.DUMMYFUNCTION("""COMPUTED_VALUE"""),45366.0)</f>
        <v>45366</v>
      </c>
      <c r="K26" s="12">
        <f t="shared" si="2"/>
        <v>1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>
        <f>IFERROR(__xludf.DUMMYFUNCTION("""COMPUTED_VALUE"""),144407.0)</f>
        <v>144407</v>
      </c>
      <c r="B27" s="5" t="str">
        <f>IFERROR(__xludf.DUMMYFUNCTION("""COMPUTED_VALUE"""),"岡本佑希")</f>
        <v>岡本佑希</v>
      </c>
      <c r="C27" s="5" t="str">
        <f>IFERROR(__xludf.DUMMYFUNCTION("""COMPUTED_VALUE"""),"おかもとゆうき")</f>
        <v>おかもとゆうき</v>
      </c>
      <c r="D27" s="5">
        <f>IFERROR(__xludf.DUMMYFUNCTION("""COMPUTED_VALUE"""),3.0)</f>
        <v>3</v>
      </c>
      <c r="E27" s="5" t="str">
        <f>IFERROR(__xludf.DUMMYFUNCTION("""COMPUTED_VALUE"""),"女")</f>
        <v>女</v>
      </c>
      <c r="F27" s="5" t="str">
        <f>IFERROR(__xludf.DUMMYFUNCTION("""COMPUTED_VALUE"""),"×欠場")</f>
        <v>×欠場</v>
      </c>
      <c r="G27" s="5" t="str">
        <f>IFERROR(__xludf.DUMMYFUNCTION("""COMPUTED_VALUE"""),"×欠場")</f>
        <v>×欠場</v>
      </c>
      <c r="H27" s="5"/>
      <c r="I27" s="5" t="str">
        <f>IFERROR(__xludf.DUMMYFUNCTION("""COMPUTED_VALUE"""),"×参加しない")</f>
        <v>×参加しない</v>
      </c>
      <c r="J27" s="5"/>
      <c r="K27" s="12">
        <f t="shared" si="2"/>
        <v>0</v>
      </c>
    </row>
    <row r="28" ht="19.5" customHeight="1">
      <c r="A28" s="5">
        <f>IFERROR(__xludf.DUMMYFUNCTION("""COMPUTED_VALUE"""),144417.0)</f>
        <v>144417</v>
      </c>
      <c r="B28" s="5" t="str">
        <f>IFERROR(__xludf.DUMMYFUNCTION("""COMPUTED_VALUE"""),"秋澤 実乃里")</f>
        <v>秋澤 実乃里</v>
      </c>
      <c r="C28" s="5" t="str">
        <f>IFERROR(__xludf.DUMMYFUNCTION("""COMPUTED_VALUE"""),"あきざわ みのり")</f>
        <v>あきざわ みのり</v>
      </c>
      <c r="D28" s="5">
        <f>IFERROR(__xludf.DUMMYFUNCTION("""COMPUTED_VALUE"""),3.0)</f>
        <v>3</v>
      </c>
      <c r="E28" s="5" t="str">
        <f>IFERROR(__xludf.DUMMYFUNCTION("""COMPUTED_VALUE"""),"女")</f>
        <v>女</v>
      </c>
      <c r="F28" s="5" t="str">
        <f>IFERROR(__xludf.DUMMYFUNCTION("""COMPUTED_VALUE"""),"WUA")</f>
        <v>WUA</v>
      </c>
      <c r="G28" s="5" t="str">
        <f>IFERROR(__xludf.DUMMYFUNCTION("""COMPUTED_VALUE"""),"○出場")</f>
        <v>○出場</v>
      </c>
      <c r="H28" s="5">
        <f>IFERROR(__xludf.DUMMYFUNCTION("""COMPUTED_VALUE"""),515798.0)</f>
        <v>515798</v>
      </c>
      <c r="I28" s="5" t="str">
        <f>IFERROR(__xludf.DUMMYFUNCTION("""COMPUTED_VALUE"""),"×参加しない")</f>
        <v>×参加しない</v>
      </c>
      <c r="J28" s="50">
        <f>IFERROR(__xludf.DUMMYFUNCTION("""COMPUTED_VALUE"""),45366.0)</f>
        <v>45366</v>
      </c>
      <c r="K28" s="12">
        <f t="shared" si="2"/>
        <v>1</v>
      </c>
    </row>
    <row r="29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12">
        <f t="shared" si="2"/>
        <v>0</v>
      </c>
    </row>
    <row r="3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12">
        <f t="shared" si="2"/>
        <v>0</v>
      </c>
    </row>
    <row r="31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12">
        <f t="shared" si="2"/>
        <v>0</v>
      </c>
    </row>
    <row r="32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12">
        <f t="shared" si="2"/>
        <v>0</v>
      </c>
    </row>
    <row r="33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12">
        <f t="shared" si="2"/>
        <v>0</v>
      </c>
    </row>
    <row r="34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12">
        <f t="shared" si="2"/>
        <v>0</v>
      </c>
    </row>
    <row r="3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12">
        <f t="shared" si="2"/>
        <v>0</v>
      </c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12">
        <f t="shared" si="2"/>
        <v>0</v>
      </c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12">
        <f t="shared" si="2"/>
        <v>0</v>
      </c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12">
        <f t="shared" si="2"/>
        <v>0</v>
      </c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12">
        <f t="shared" si="2"/>
        <v>0</v>
      </c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12">
        <f t="shared" si="2"/>
        <v>0</v>
      </c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12">
        <f t="shared" si="2"/>
        <v>0</v>
      </c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12">
        <f t="shared" si="2"/>
        <v>0</v>
      </c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12">
        <f t="shared" si="2"/>
        <v>0</v>
      </c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12">
        <f t="shared" si="2"/>
        <v>0</v>
      </c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2">
        <f t="shared" si="2"/>
        <v>0</v>
      </c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2">
        <f t="shared" si="2"/>
        <v>0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1636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22</v>
      </c>
      <c r="E4" s="7">
        <f t="shared" ref="E4:E8" si="1">C4*D4</f>
        <v>187000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2</v>
      </c>
      <c r="E5" s="7">
        <f t="shared" si="1"/>
        <v>16000</v>
      </c>
    </row>
    <row r="6" ht="19.5" customHeight="1">
      <c r="A6" s="2" t="s">
        <v>9</v>
      </c>
      <c r="B6" s="4"/>
      <c r="C6" s="7">
        <v>32700.0</v>
      </c>
      <c r="D6" s="5">
        <f>D4+D5</f>
        <v>24</v>
      </c>
      <c r="E6" s="7">
        <f t="shared" si="1"/>
        <v>784800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2</v>
      </c>
      <c r="E7" s="7">
        <f t="shared" si="1"/>
        <v>9000</v>
      </c>
    </row>
    <row r="8" ht="19.5" customHeight="1">
      <c r="A8" s="2" t="s">
        <v>11</v>
      </c>
      <c r="B8" s="4"/>
      <c r="C8" s="7">
        <v>500.0</v>
      </c>
      <c r="D8" s="5">
        <f>D4-COUNT(H14:H201)</f>
        <v>8</v>
      </c>
      <c r="E8" s="7">
        <f t="shared" si="1"/>
        <v>4000</v>
      </c>
    </row>
    <row r="9" ht="19.5" customHeight="1">
      <c r="A9" s="9"/>
      <c r="B9" s="9"/>
      <c r="C9" s="9"/>
      <c r="D9" s="10" t="s">
        <v>5</v>
      </c>
      <c r="E9" s="11">
        <f>SUM(E4:E8)</f>
        <v>1000800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IFERROR(__xludf.DUMMYFUNCTION("FILTER('個人別エントリー'!C2:L1018,'個人別エントリー'!B2:B1018=A1)"),350102.0)</f>
        <v>350102</v>
      </c>
      <c r="B14" s="5" t="str">
        <f>IFERROR(__xludf.DUMMYFUNCTION("""COMPUTED_VALUE"""),"南颯太郎")</f>
        <v>南颯太郎</v>
      </c>
      <c r="C14" s="5" t="str">
        <f>IFERROR(__xludf.DUMMYFUNCTION("""COMPUTED_VALUE"""),"みなみそうたろう")</f>
        <v>みなみそうたろう</v>
      </c>
      <c r="D14" s="5">
        <f>IFERROR(__xludf.DUMMYFUNCTION("""COMPUTED_VALUE"""),1.0)</f>
        <v>1</v>
      </c>
      <c r="E14" s="5" t="str">
        <f>IFERROR(__xludf.DUMMYFUNCTION("""COMPUTED_VALUE"""),"男")</f>
        <v>男</v>
      </c>
      <c r="F14" s="5" t="str">
        <f>IFERROR(__xludf.DUMMYFUNCTION("""COMPUTED_VALUE"""),"×欠場")</f>
        <v>×欠場</v>
      </c>
      <c r="G14" s="5" t="str">
        <f>IFERROR(__xludf.DUMMYFUNCTION("""COMPUTED_VALUE"""),"×欠場")</f>
        <v>×欠場</v>
      </c>
      <c r="H14" s="5"/>
      <c r="I14" s="5" t="str">
        <f>IFERROR(__xludf.DUMMYFUNCTION("""COMPUTED_VALUE"""),"×参加しない")</f>
        <v>×参加しない</v>
      </c>
      <c r="J14" s="5"/>
      <c r="K14" s="12">
        <f t="shared" ref="K14:K201" si="2">IF(AND(OR(F14="×欠場",F14=""),OR(G14="×欠場",G14="")),0,1)</f>
        <v>0</v>
      </c>
      <c r="M14" s="5" t="str">
        <f>IFERROR(__xludf.DUMMYFUNCTION("FILTER('リレー内容'!$C$2:$K$51,'リレー内容'!$B$2:$B$51=A1)"),"○出場")</f>
        <v>○出場</v>
      </c>
      <c r="N14" s="5" t="str">
        <f>IFERROR(__xludf.DUMMYFUNCTION("""COMPUTED_VALUE"""),"○出場")</f>
        <v>○出場</v>
      </c>
      <c r="O14" s="5">
        <f>IFERROR(__xludf.DUMMYFUNCTION("""COMPUTED_VALUE"""),3.0)</f>
        <v>3</v>
      </c>
      <c r="P14" s="5">
        <f>IFERROR(__xludf.DUMMYFUNCTION("""COMPUTED_VALUE"""),0.0)</f>
        <v>0</v>
      </c>
      <c r="Q14" s="5">
        <f>IFERROR(__xludf.DUMMYFUNCTION("""COMPUTED_VALUE"""),0.0)</f>
        <v>0</v>
      </c>
      <c r="R14" s="5">
        <f>IFERROR(__xludf.DUMMYFUNCTION("""COMPUTED_VALUE"""),1.0)</f>
        <v>1</v>
      </c>
      <c r="S14" s="5">
        <f>IFERROR(__xludf.DUMMYFUNCTION("""COMPUTED_VALUE"""),1.0)</f>
        <v>1</v>
      </c>
      <c r="T14" s="5">
        <f>IFERROR(__xludf.DUMMYFUNCTION("""COMPUTED_VALUE"""),2.0)</f>
        <v>2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IFERROR(__xludf.DUMMYFUNCTION("""COMPUTED_VALUE"""),350103.0)</f>
        <v>350103</v>
      </c>
      <c r="B15" s="5" t="str">
        <f>IFERROR(__xludf.DUMMYFUNCTION("""COMPUTED_VALUE"""),"政井秀仁")</f>
        <v>政井秀仁</v>
      </c>
      <c r="C15" s="5" t="str">
        <f>IFERROR(__xludf.DUMMYFUNCTION("""COMPUTED_VALUE"""),"まさいひでと")</f>
        <v>まさいひでと</v>
      </c>
      <c r="D15" s="5">
        <f>IFERROR(__xludf.DUMMYFUNCTION("""COMPUTED_VALUE"""),1.0)</f>
        <v>1</v>
      </c>
      <c r="E15" s="5" t="str">
        <f>IFERROR(__xludf.DUMMYFUNCTION("""COMPUTED_VALUE"""),"男")</f>
        <v>男</v>
      </c>
      <c r="F15" s="5" t="str">
        <f>IFERROR(__xludf.DUMMYFUNCTION("""COMPUTED_VALUE"""),"MUF")</f>
        <v>MUF</v>
      </c>
      <c r="G15" s="5" t="str">
        <f>IFERROR(__xludf.DUMMYFUNCTION("""COMPUTED_VALUE"""),"○出場")</f>
        <v>○出場</v>
      </c>
      <c r="H15" s="5">
        <f>IFERROR(__xludf.DUMMYFUNCTION("""COMPUTED_VALUE"""),530290.0)</f>
        <v>530290</v>
      </c>
      <c r="I15" s="5" t="str">
        <f>IFERROR(__xludf.DUMMYFUNCTION("""COMPUTED_VALUE"""),"○参加する")</f>
        <v>○参加する</v>
      </c>
      <c r="J15" s="5"/>
      <c r="K15" s="12">
        <f t="shared" si="2"/>
        <v>1</v>
      </c>
    </row>
    <row r="16" ht="19.5" customHeight="1">
      <c r="A16" s="5">
        <f>IFERROR(__xludf.DUMMYFUNCTION("""COMPUTED_VALUE"""),350104.0)</f>
        <v>350104</v>
      </c>
      <c r="B16" s="5" t="str">
        <f>IFERROR(__xludf.DUMMYFUNCTION("""COMPUTED_VALUE"""),"角田兼志郎")</f>
        <v>角田兼志郎</v>
      </c>
      <c r="C16" s="5" t="str">
        <f>IFERROR(__xludf.DUMMYFUNCTION("""COMPUTED_VALUE"""),"かくたけんしろう")</f>
        <v>かくたけんしろう</v>
      </c>
      <c r="D16" s="5">
        <f>IFERROR(__xludf.DUMMYFUNCTION("""COMPUTED_VALUE"""),1.0)</f>
        <v>1</v>
      </c>
      <c r="E16" s="5" t="str">
        <f>IFERROR(__xludf.DUMMYFUNCTION("""COMPUTED_VALUE"""),"男")</f>
        <v>男</v>
      </c>
      <c r="F16" s="5" t="str">
        <f>IFERROR(__xludf.DUMMYFUNCTION("""COMPUTED_VALUE"""),"×欠場")</f>
        <v>×欠場</v>
      </c>
      <c r="G16" s="5" t="str">
        <f>IFERROR(__xludf.DUMMYFUNCTION("""COMPUTED_VALUE"""),"×欠場")</f>
        <v>×欠場</v>
      </c>
      <c r="H16" s="5"/>
      <c r="I16" s="5" t="str">
        <f>IFERROR(__xludf.DUMMYFUNCTION("""COMPUTED_VALUE"""),"×参加しない")</f>
        <v>×参加しない</v>
      </c>
      <c r="J16" s="5"/>
      <c r="K16" s="12">
        <f t="shared" si="2"/>
        <v>0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>
        <f>IFERROR(__xludf.DUMMYFUNCTION("""COMPUTED_VALUE"""),350105.0)</f>
        <v>350105</v>
      </c>
      <c r="B17" s="5" t="str">
        <f>IFERROR(__xludf.DUMMYFUNCTION("""COMPUTED_VALUE"""),"太田来和")</f>
        <v>太田来和</v>
      </c>
      <c r="C17" s="5" t="str">
        <f>IFERROR(__xludf.DUMMYFUNCTION("""COMPUTED_VALUE"""),"おおたきわ")</f>
        <v>おおたきわ</v>
      </c>
      <c r="D17" s="5">
        <f>IFERROR(__xludf.DUMMYFUNCTION("""COMPUTED_VALUE"""),1.0)</f>
        <v>1</v>
      </c>
      <c r="E17" s="5" t="str">
        <f>IFERROR(__xludf.DUMMYFUNCTION("""COMPUTED_VALUE"""),"女")</f>
        <v>女</v>
      </c>
      <c r="F17" s="5" t="str">
        <f>IFERROR(__xludf.DUMMYFUNCTION("""COMPUTED_VALUE"""),"WUF")</f>
        <v>WUF</v>
      </c>
      <c r="G17" s="5" t="str">
        <f>IFERROR(__xludf.DUMMYFUNCTION("""COMPUTED_VALUE"""),"○出場")</f>
        <v>○出場</v>
      </c>
      <c r="H17" s="5">
        <f>IFERROR(__xludf.DUMMYFUNCTION("""COMPUTED_VALUE"""),530292.0)</f>
        <v>530292</v>
      </c>
      <c r="I17" s="5" t="str">
        <f>IFERROR(__xludf.DUMMYFUNCTION("""COMPUTED_VALUE"""),"×参加しない")</f>
        <v>×参加しない</v>
      </c>
      <c r="J17" s="5"/>
      <c r="K17" s="12">
        <f t="shared" si="2"/>
        <v>1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>
        <f>IFERROR(__xludf.DUMMYFUNCTION("""COMPUTED_VALUE"""),350106.0)</f>
        <v>350106</v>
      </c>
      <c r="B18" s="5" t="str">
        <f>IFERROR(__xludf.DUMMYFUNCTION("""COMPUTED_VALUE"""),"佐々木伶奈")</f>
        <v>佐々木伶奈</v>
      </c>
      <c r="C18" s="5" t="str">
        <f>IFERROR(__xludf.DUMMYFUNCTION("""COMPUTED_VALUE"""),"ささきれな")</f>
        <v>ささきれな</v>
      </c>
      <c r="D18" s="5">
        <f>IFERROR(__xludf.DUMMYFUNCTION("""COMPUTED_VALUE"""),1.0)</f>
        <v>1</v>
      </c>
      <c r="E18" s="5" t="str">
        <f>IFERROR(__xludf.DUMMYFUNCTION("""COMPUTED_VALUE"""),"女")</f>
        <v>女</v>
      </c>
      <c r="F18" s="5" t="str">
        <f>IFERROR(__xludf.DUMMYFUNCTION("""COMPUTED_VALUE"""),"×欠場")</f>
        <v>×欠場</v>
      </c>
      <c r="G18" s="5" t="str">
        <f>IFERROR(__xludf.DUMMYFUNCTION("""COMPUTED_VALUE"""),"×欠場")</f>
        <v>×欠場</v>
      </c>
      <c r="H18" s="5"/>
      <c r="I18" s="5" t="str">
        <f>IFERROR(__xludf.DUMMYFUNCTION("""COMPUTED_VALUE"""),"×参加しない")</f>
        <v>×参加しない</v>
      </c>
      <c r="J18" s="5"/>
      <c r="K18" s="12">
        <f t="shared" si="2"/>
        <v>0</v>
      </c>
      <c r="M18" s="5" t="s">
        <v>32</v>
      </c>
      <c r="N18" s="2" t="s">
        <v>1636</v>
      </c>
      <c r="O18" s="4"/>
      <c r="P18" s="2" t="s">
        <v>2334</v>
      </c>
      <c r="Q18" s="3"/>
      <c r="R18" s="3"/>
      <c r="S18" s="3"/>
      <c r="T18" s="3"/>
      <c r="U18" s="4"/>
    </row>
    <row r="19" ht="19.5" customHeight="1">
      <c r="A19" s="5">
        <f>IFERROR(__xludf.DUMMYFUNCTION("""COMPUTED_VALUE"""),350107.0)</f>
        <v>350107</v>
      </c>
      <c r="B19" s="5" t="str">
        <f>IFERROR(__xludf.DUMMYFUNCTION("""COMPUTED_VALUE"""),"倉科瑠奈")</f>
        <v>倉科瑠奈</v>
      </c>
      <c r="C19" s="5" t="str">
        <f>IFERROR(__xludf.DUMMYFUNCTION("""COMPUTED_VALUE"""),"くらしなるな")</f>
        <v>くらしなるな</v>
      </c>
      <c r="D19" s="5">
        <f>IFERROR(__xludf.DUMMYFUNCTION("""COMPUTED_VALUE"""),1.0)</f>
        <v>1</v>
      </c>
      <c r="E19" s="5" t="str">
        <f>IFERROR(__xludf.DUMMYFUNCTION("""COMPUTED_VALUE"""),"女")</f>
        <v>女</v>
      </c>
      <c r="F19" s="5" t="str">
        <f>IFERROR(__xludf.DUMMYFUNCTION("""COMPUTED_VALUE"""),"×欠場")</f>
        <v>×欠場</v>
      </c>
      <c r="G19" s="5" t="str">
        <f>IFERROR(__xludf.DUMMYFUNCTION("""COMPUTED_VALUE"""),"×欠場")</f>
        <v>×欠場</v>
      </c>
      <c r="H19" s="5"/>
      <c r="I19" s="5" t="str">
        <f>IFERROR(__xludf.DUMMYFUNCTION("""COMPUTED_VALUE"""),"×参加しない")</f>
        <v>×参加しない</v>
      </c>
      <c r="J19" s="5"/>
      <c r="K19" s="12">
        <f t="shared" si="2"/>
        <v>0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>
        <f>IFERROR(__xludf.DUMMYFUNCTION("""COMPUTED_VALUE"""),350108.0)</f>
        <v>350108</v>
      </c>
      <c r="B20" s="5" t="str">
        <f>IFERROR(__xludf.DUMMYFUNCTION("""COMPUTED_VALUE"""),"神坂夏実")</f>
        <v>神坂夏実</v>
      </c>
      <c r="C20" s="5" t="str">
        <f>IFERROR(__xludf.DUMMYFUNCTION("""COMPUTED_VALUE"""),"かみさかなつみ")</f>
        <v>かみさかなつみ</v>
      </c>
      <c r="D20" s="5">
        <f>IFERROR(__xludf.DUMMYFUNCTION("""COMPUTED_VALUE"""),1.0)</f>
        <v>1</v>
      </c>
      <c r="E20" s="5" t="str">
        <f>IFERROR(__xludf.DUMMYFUNCTION("""COMPUTED_VALUE"""),"女")</f>
        <v>女</v>
      </c>
      <c r="F20" s="5" t="str">
        <f>IFERROR(__xludf.DUMMYFUNCTION("""COMPUTED_VALUE"""),"×欠場")</f>
        <v>×欠場</v>
      </c>
      <c r="G20" s="5" t="str">
        <f>IFERROR(__xludf.DUMMYFUNCTION("""COMPUTED_VALUE"""),"×欠場")</f>
        <v>×欠場</v>
      </c>
      <c r="H20" s="5"/>
      <c r="I20" s="5" t="str">
        <f>IFERROR(__xludf.DUMMYFUNCTION("""COMPUTED_VALUE"""),"×参加しない")</f>
        <v>×参加しない</v>
      </c>
      <c r="J20" s="5"/>
      <c r="K20" s="12">
        <f t="shared" si="2"/>
        <v>0</v>
      </c>
    </row>
    <row r="21" ht="19.5" customHeight="1">
      <c r="A21" s="5">
        <f>IFERROR(__xludf.DUMMYFUNCTION("""COMPUTED_VALUE"""),350109.0)</f>
        <v>350109</v>
      </c>
      <c r="B21" s="5" t="str">
        <f>IFERROR(__xludf.DUMMYFUNCTION("""COMPUTED_VALUE"""),"奥村友香")</f>
        <v>奥村友香</v>
      </c>
      <c r="C21" s="5" t="str">
        <f>IFERROR(__xludf.DUMMYFUNCTION("""COMPUTED_VALUE"""),"おくむらゆうか")</f>
        <v>おくむらゆうか</v>
      </c>
      <c r="D21" s="5">
        <f>IFERROR(__xludf.DUMMYFUNCTION("""COMPUTED_VALUE"""),1.0)</f>
        <v>1</v>
      </c>
      <c r="E21" s="5" t="str">
        <f>IFERROR(__xludf.DUMMYFUNCTION("""COMPUTED_VALUE"""),"女")</f>
        <v>女</v>
      </c>
      <c r="F21" s="5" t="str">
        <f>IFERROR(__xludf.DUMMYFUNCTION("""COMPUTED_VALUE"""),"WUF")</f>
        <v>WUF</v>
      </c>
      <c r="G21" s="5" t="str">
        <f>IFERROR(__xludf.DUMMYFUNCTION("""COMPUTED_VALUE"""),"○出場")</f>
        <v>○出場</v>
      </c>
      <c r="H21" s="5">
        <f>IFERROR(__xludf.DUMMYFUNCTION("""COMPUTED_VALUE"""),530294.0)</f>
        <v>530294</v>
      </c>
      <c r="I21" s="5" t="str">
        <f>IFERROR(__xludf.DUMMYFUNCTION("""COMPUTED_VALUE"""),"○参加する")</f>
        <v>○参加する</v>
      </c>
      <c r="J21" s="5"/>
      <c r="K21" s="12">
        <f t="shared" si="2"/>
        <v>1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>
        <f>IFERROR(__xludf.DUMMYFUNCTION("""COMPUTED_VALUE"""),350110.0)</f>
        <v>350110</v>
      </c>
      <c r="B22" s="5" t="str">
        <f>IFERROR(__xludf.DUMMYFUNCTION("""COMPUTED_VALUE"""),"森遼馬")</f>
        <v>森遼馬</v>
      </c>
      <c r="C22" s="5" t="str">
        <f>IFERROR(__xludf.DUMMYFUNCTION("""COMPUTED_VALUE"""),"もりりょうま")</f>
        <v>もりりょうま</v>
      </c>
      <c r="D22" s="5">
        <f>IFERROR(__xludf.DUMMYFUNCTION("""COMPUTED_VALUE"""),1.0)</f>
        <v>1</v>
      </c>
      <c r="E22" s="5" t="str">
        <f>IFERROR(__xludf.DUMMYFUNCTION("""COMPUTED_VALUE"""),"男")</f>
        <v>男</v>
      </c>
      <c r="F22" s="5" t="str">
        <f>IFERROR(__xludf.DUMMYFUNCTION("""COMPUTED_VALUE"""),"MUF")</f>
        <v>MUF</v>
      </c>
      <c r="G22" s="5" t="str">
        <f>IFERROR(__xludf.DUMMYFUNCTION("""COMPUTED_VALUE"""),"×欠場")</f>
        <v>×欠場</v>
      </c>
      <c r="H22" s="5">
        <f>IFERROR(__xludf.DUMMYFUNCTION("""COMPUTED_VALUE"""),530291.0)</f>
        <v>530291</v>
      </c>
      <c r="I22" s="5" t="str">
        <f>IFERROR(__xludf.DUMMYFUNCTION("""COMPUTED_VALUE"""),"×参加しない")</f>
        <v>×参加しない</v>
      </c>
      <c r="J22" s="5"/>
      <c r="K22" s="12">
        <f t="shared" si="2"/>
        <v>1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>
        <f>IFERROR(__xludf.DUMMYFUNCTION("""COMPUTED_VALUE"""),250101.0)</f>
        <v>250101</v>
      </c>
      <c r="B23" s="5" t="str">
        <f>IFERROR(__xludf.DUMMYFUNCTION("""COMPUTED_VALUE"""),"大山美菜子")</f>
        <v>大山美菜子</v>
      </c>
      <c r="C23" s="5" t="str">
        <f>IFERROR(__xludf.DUMMYFUNCTION("""COMPUTED_VALUE"""),"おおやまみなこ")</f>
        <v>おおやまみなこ</v>
      </c>
      <c r="D23" s="5">
        <f>IFERROR(__xludf.DUMMYFUNCTION("""COMPUTED_VALUE"""),2.0)</f>
        <v>2</v>
      </c>
      <c r="E23" s="5" t="str">
        <f>IFERROR(__xludf.DUMMYFUNCTION("""COMPUTED_VALUE"""),"女")</f>
        <v>女</v>
      </c>
      <c r="F23" s="5" t="str">
        <f>IFERROR(__xludf.DUMMYFUNCTION("""COMPUTED_VALUE"""),"×欠場")</f>
        <v>×欠場</v>
      </c>
      <c r="G23" s="5" t="str">
        <f>IFERROR(__xludf.DUMMYFUNCTION("""COMPUTED_VALUE"""),"×欠場")</f>
        <v>×欠場</v>
      </c>
      <c r="H23" s="5"/>
      <c r="I23" s="5" t="str">
        <f>IFERROR(__xludf.DUMMYFUNCTION("""COMPUTED_VALUE"""),"×参加しない")</f>
        <v>×参加しない</v>
      </c>
      <c r="J23" s="5"/>
      <c r="K23" s="12">
        <f t="shared" si="2"/>
        <v>0</v>
      </c>
      <c r="M23" s="2" t="str">
        <f>IFERROR(__xludf.DUMMYFUNCTION("FILTER('オフィシャル'!$B$2:$B$65,'オフィシャル'!$A$2:$A$65=A1)"),"谷口瞬生")</f>
        <v>谷口瞬生</v>
      </c>
      <c r="N23" s="4"/>
      <c r="O23" s="2" t="str">
        <f>IFERROR(__xludf.DUMMYFUNCTION("FILTER('オフィシャル'!$C$2:$C$65,'オフィシャル'!$A$2:$A$65=A1)"),"たにぐちしゅんき")</f>
        <v>たにぐちしゅんき</v>
      </c>
      <c r="P23" s="3"/>
      <c r="Q23" s="5" t="str">
        <f>IFERROR(__xludf.DUMMYFUNCTION("FILTER('オフィシャル'!$D$2:$D$65,'オフィシャル'!$A$2:$A$65=A1)"),"男")</f>
        <v>男</v>
      </c>
      <c r="R23" s="2" t="str">
        <f>IFERROR(__xludf.DUMMYFUNCTION("FILTER('オフィシャル'!$E$2:$E$65,'オフィシャル'!$A$2:$A$65=A1)"),"×しない")</f>
        <v>×しない</v>
      </c>
      <c r="S23" s="4"/>
      <c r="T23" s="14" t="str">
        <f>IFERROR(__xludf.DUMMYFUNCTION("FILTER('オフィシャル'!$F$2:$F$65,'オフィシャル'!$A$2:$A$65=A1)"),"")</f>
        <v/>
      </c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>
        <f>IFERROR(__xludf.DUMMYFUNCTION("""COMPUTED_VALUE"""),250103.0)</f>
        <v>250103</v>
      </c>
      <c r="B24" s="5" t="str">
        <f>IFERROR(__xludf.DUMMYFUNCTION("""COMPUTED_VALUE"""),"吉川浩太")</f>
        <v>吉川浩太</v>
      </c>
      <c r="C24" s="5" t="str">
        <f>IFERROR(__xludf.DUMMYFUNCTION("""COMPUTED_VALUE"""),"きっかわこうた")</f>
        <v>きっかわこうた</v>
      </c>
      <c r="D24" s="5">
        <f>IFERROR(__xludf.DUMMYFUNCTION("""COMPUTED_VALUE"""),2.0)</f>
        <v>2</v>
      </c>
      <c r="E24" s="5" t="str">
        <f>IFERROR(__xludf.DUMMYFUNCTION("""COMPUTED_VALUE"""),"男")</f>
        <v>男</v>
      </c>
      <c r="F24" s="5" t="str">
        <f>IFERROR(__xludf.DUMMYFUNCTION("""COMPUTED_VALUE"""),"MUA")</f>
        <v>MUA</v>
      </c>
      <c r="G24" s="5" t="str">
        <f>IFERROR(__xludf.DUMMYFUNCTION("""COMPUTED_VALUE"""),"○出場")</f>
        <v>○出場</v>
      </c>
      <c r="H24" s="5">
        <f>IFERROR(__xludf.DUMMYFUNCTION("""COMPUTED_VALUE"""),523989.0)</f>
        <v>523989</v>
      </c>
      <c r="I24" s="5" t="str">
        <f>IFERROR(__xludf.DUMMYFUNCTION("""COMPUTED_VALUE"""),"○参加する")</f>
        <v>○参加する</v>
      </c>
      <c r="J24" s="5"/>
      <c r="K24" s="12">
        <f t="shared" si="2"/>
        <v>1</v>
      </c>
      <c r="M24" s="2" t="str">
        <f>IFERROR(__xludf.DUMMYFUNCTION("""COMPUTED_VALUE"""),"竹重拓輝")</f>
        <v>竹重拓輝</v>
      </c>
      <c r="N24" s="4"/>
      <c r="O24" s="2" t="str">
        <f>IFERROR(__xludf.DUMMYFUNCTION("""COMPUTED_VALUE"""),"たけしげひろき")</f>
        <v>たけしげひろき</v>
      </c>
      <c r="P24" s="3"/>
      <c r="Q24" s="5" t="str">
        <f>IFERROR(__xludf.DUMMYFUNCTION("""COMPUTED_VALUE"""),"男")</f>
        <v>男</v>
      </c>
      <c r="R24" s="2" t="str">
        <f>IFERROR(__xludf.DUMMYFUNCTION("""COMPUTED_VALUE"""),"○する")</f>
        <v>○する</v>
      </c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>
        <f>IFERROR(__xludf.DUMMYFUNCTION("""COMPUTED_VALUE"""),250104.0)</f>
        <v>250104</v>
      </c>
      <c r="B25" s="5" t="str">
        <f>IFERROR(__xludf.DUMMYFUNCTION("""COMPUTED_VALUE"""),"市來佐和子")</f>
        <v>市來佐和子</v>
      </c>
      <c r="C25" s="5" t="str">
        <f>IFERROR(__xludf.DUMMYFUNCTION("""COMPUTED_VALUE"""),"いちきさわこ")</f>
        <v>いちきさわこ</v>
      </c>
      <c r="D25" s="5">
        <f>IFERROR(__xludf.DUMMYFUNCTION("""COMPUTED_VALUE"""),2.0)</f>
        <v>2</v>
      </c>
      <c r="E25" s="5" t="str">
        <f>IFERROR(__xludf.DUMMYFUNCTION("""COMPUTED_VALUE"""),"女")</f>
        <v>女</v>
      </c>
      <c r="F25" s="5" t="str">
        <f>IFERROR(__xludf.DUMMYFUNCTION("""COMPUTED_VALUE"""),"WUB")</f>
        <v>WUB</v>
      </c>
      <c r="G25" s="5" t="str">
        <f>IFERROR(__xludf.DUMMYFUNCTION("""COMPUTED_VALUE"""),"○出場")</f>
        <v>○出場</v>
      </c>
      <c r="H25" s="5">
        <f>IFERROR(__xludf.DUMMYFUNCTION("""COMPUTED_VALUE"""),523987.0)</f>
        <v>523987</v>
      </c>
      <c r="I25" s="5" t="str">
        <f>IFERROR(__xludf.DUMMYFUNCTION("""COMPUTED_VALUE"""),"○参加する")</f>
        <v>○参加する</v>
      </c>
      <c r="J25" s="5"/>
      <c r="K25" s="12">
        <f t="shared" si="2"/>
        <v>1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>
        <f>IFERROR(__xludf.DUMMYFUNCTION("""COMPUTED_VALUE"""),250106.0)</f>
        <v>250106</v>
      </c>
      <c r="B26" s="5" t="str">
        <f>IFERROR(__xludf.DUMMYFUNCTION("""COMPUTED_VALUE"""),"金井勇輝")</f>
        <v>金井勇輝</v>
      </c>
      <c r="C26" s="5" t="str">
        <f>IFERROR(__xludf.DUMMYFUNCTION("""COMPUTED_VALUE"""),"かないゆうき")</f>
        <v>かないゆうき</v>
      </c>
      <c r="D26" s="5">
        <f>IFERROR(__xludf.DUMMYFUNCTION("""COMPUTED_VALUE"""),2.0)</f>
        <v>2</v>
      </c>
      <c r="E26" s="5" t="str">
        <f>IFERROR(__xludf.DUMMYFUNCTION("""COMPUTED_VALUE"""),"男")</f>
        <v>男</v>
      </c>
      <c r="F26" s="5" t="str">
        <f>IFERROR(__xludf.DUMMYFUNCTION("""COMPUTED_VALUE"""),"MUA")</f>
        <v>MUA</v>
      </c>
      <c r="G26" s="5" t="str">
        <f>IFERROR(__xludf.DUMMYFUNCTION("""COMPUTED_VALUE"""),"○出場")</f>
        <v>○出場</v>
      </c>
      <c r="H26" s="5">
        <f>IFERROR(__xludf.DUMMYFUNCTION("""COMPUTED_VALUE"""),523990.0)</f>
        <v>523990</v>
      </c>
      <c r="I26" s="5" t="str">
        <f>IFERROR(__xludf.DUMMYFUNCTION("""COMPUTED_VALUE"""),"○参加する")</f>
        <v>○参加する</v>
      </c>
      <c r="J26" s="5"/>
      <c r="K26" s="12">
        <f t="shared" si="2"/>
        <v>1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>
        <f>IFERROR(__xludf.DUMMYFUNCTION("""COMPUTED_VALUE"""),250107.0)</f>
        <v>250107</v>
      </c>
      <c r="B27" s="5" t="str">
        <f>IFERROR(__xludf.DUMMYFUNCTION("""COMPUTED_VALUE"""),"石塚陽広")</f>
        <v>石塚陽広</v>
      </c>
      <c r="C27" s="5" t="str">
        <f>IFERROR(__xludf.DUMMYFUNCTION("""COMPUTED_VALUE"""),"いしづかあきひろ")</f>
        <v>いしづかあきひろ</v>
      </c>
      <c r="D27" s="5">
        <f>IFERROR(__xludf.DUMMYFUNCTION("""COMPUTED_VALUE"""),2.0)</f>
        <v>2</v>
      </c>
      <c r="E27" s="5" t="str">
        <f>IFERROR(__xludf.DUMMYFUNCTION("""COMPUTED_VALUE"""),"男")</f>
        <v>男</v>
      </c>
      <c r="F27" s="5" t="str">
        <f>IFERROR(__xludf.DUMMYFUNCTION("""COMPUTED_VALUE"""),"MUA")</f>
        <v>MUA</v>
      </c>
      <c r="G27" s="5" t="str">
        <f>IFERROR(__xludf.DUMMYFUNCTION("""COMPUTED_VALUE"""),"○出場")</f>
        <v>○出場</v>
      </c>
      <c r="H27" s="5">
        <f>IFERROR(__xludf.DUMMYFUNCTION("""COMPUTED_VALUE"""),523988.0)</f>
        <v>523988</v>
      </c>
      <c r="I27" s="5" t="str">
        <f>IFERROR(__xludf.DUMMYFUNCTION("""COMPUTED_VALUE"""),"○参加する")</f>
        <v>○参加する</v>
      </c>
      <c r="J27" s="5"/>
      <c r="K27" s="12">
        <f t="shared" si="2"/>
        <v>1</v>
      </c>
    </row>
    <row r="28" ht="19.5" customHeight="1">
      <c r="A28" s="5">
        <f>IFERROR(__xludf.DUMMYFUNCTION("""COMPUTED_VALUE"""),250114.0)</f>
        <v>250114</v>
      </c>
      <c r="B28" s="5" t="str">
        <f>IFERROR(__xludf.DUMMYFUNCTION("""COMPUTED_VALUE"""),"神田潤一")</f>
        <v>神田潤一</v>
      </c>
      <c r="C28" s="5" t="str">
        <f>IFERROR(__xludf.DUMMYFUNCTION("""COMPUTED_VALUE"""),"かんだじゅんいち")</f>
        <v>かんだじゅんいち</v>
      </c>
      <c r="D28" s="5">
        <f>IFERROR(__xludf.DUMMYFUNCTION("""COMPUTED_VALUE"""),2.0)</f>
        <v>2</v>
      </c>
      <c r="E28" s="5" t="str">
        <f>IFERROR(__xludf.DUMMYFUNCTION("""COMPUTED_VALUE"""),"男")</f>
        <v>男</v>
      </c>
      <c r="F28" s="5" t="str">
        <f>IFERROR(__xludf.DUMMYFUNCTION("""COMPUTED_VALUE"""),"MUA")</f>
        <v>MUA</v>
      </c>
      <c r="G28" s="5" t="str">
        <f>IFERROR(__xludf.DUMMYFUNCTION("""COMPUTED_VALUE"""),"○出場")</f>
        <v>○出場</v>
      </c>
      <c r="H28" s="5"/>
      <c r="I28" s="5" t="str">
        <f>IFERROR(__xludf.DUMMYFUNCTION("""COMPUTED_VALUE"""),"○参加する")</f>
        <v>○参加する</v>
      </c>
      <c r="J28" s="5"/>
      <c r="K28" s="12">
        <f t="shared" si="2"/>
        <v>1</v>
      </c>
    </row>
    <row r="29" ht="19.5" customHeight="1">
      <c r="A29" s="5">
        <f>IFERROR(__xludf.DUMMYFUNCTION("""COMPUTED_VALUE"""),250115.0)</f>
        <v>250115</v>
      </c>
      <c r="B29" s="5" t="str">
        <f>IFERROR(__xludf.DUMMYFUNCTION("""COMPUTED_VALUE"""),"岩崎壮馬")</f>
        <v>岩崎壮馬</v>
      </c>
      <c r="C29" s="5" t="str">
        <f>IFERROR(__xludf.DUMMYFUNCTION("""COMPUTED_VALUE"""),"いわさきそうま")</f>
        <v>いわさきそうま</v>
      </c>
      <c r="D29" s="5">
        <f>IFERROR(__xludf.DUMMYFUNCTION("""COMPUTED_VALUE"""),2.0)</f>
        <v>2</v>
      </c>
      <c r="E29" s="5" t="str">
        <f>IFERROR(__xludf.DUMMYFUNCTION("""COMPUTED_VALUE"""),"男")</f>
        <v>男</v>
      </c>
      <c r="F29" s="5" t="str">
        <f>IFERROR(__xludf.DUMMYFUNCTION("""COMPUTED_VALUE"""),"MUA")</f>
        <v>MUA</v>
      </c>
      <c r="G29" s="5" t="str">
        <f>IFERROR(__xludf.DUMMYFUNCTION("""COMPUTED_VALUE"""),"○出場")</f>
        <v>○出場</v>
      </c>
      <c r="H29" s="5">
        <f>IFERROR(__xludf.DUMMYFUNCTION("""COMPUTED_VALUE"""),523986.0)</f>
        <v>523986</v>
      </c>
      <c r="I29" s="5" t="str">
        <f>IFERROR(__xludf.DUMMYFUNCTION("""COMPUTED_VALUE"""),"○参加する")</f>
        <v>○参加する</v>
      </c>
      <c r="J29" s="5"/>
      <c r="K29" s="12">
        <f t="shared" si="2"/>
        <v>1</v>
      </c>
    </row>
    <row r="30" ht="19.5" customHeight="1">
      <c r="A30" s="5">
        <f>IFERROR(__xludf.DUMMYFUNCTION("""COMPUTED_VALUE"""),50104.0)</f>
        <v>50104</v>
      </c>
      <c r="B30" s="5" t="str">
        <f>IFERROR(__xludf.DUMMYFUNCTION("""COMPUTED_VALUE"""),"澤木彩")</f>
        <v>澤木彩</v>
      </c>
      <c r="C30" s="5" t="str">
        <f>IFERROR(__xludf.DUMMYFUNCTION("""COMPUTED_VALUE"""),"さわきあや")</f>
        <v>さわきあや</v>
      </c>
      <c r="D30" s="5">
        <f>IFERROR(__xludf.DUMMYFUNCTION("""COMPUTED_VALUE"""),3.0)</f>
        <v>3</v>
      </c>
      <c r="E30" s="5" t="str">
        <f>IFERROR(__xludf.DUMMYFUNCTION("""COMPUTED_VALUE"""),"女")</f>
        <v>女</v>
      </c>
      <c r="F30" s="5" t="str">
        <f>IFERROR(__xludf.DUMMYFUNCTION("""COMPUTED_VALUE"""),"×欠場")</f>
        <v>×欠場</v>
      </c>
      <c r="G30" s="5" t="str">
        <f>IFERROR(__xludf.DUMMYFUNCTION("""COMPUTED_VALUE"""),"×欠場")</f>
        <v>×欠場</v>
      </c>
      <c r="H30" s="5"/>
      <c r="I30" s="5" t="str">
        <f>IFERROR(__xludf.DUMMYFUNCTION("""COMPUTED_VALUE"""),"×参加しない")</f>
        <v>×参加しない</v>
      </c>
      <c r="J30" s="5"/>
      <c r="K30" s="12">
        <f t="shared" si="2"/>
        <v>0</v>
      </c>
    </row>
    <row r="31" ht="19.5" customHeight="1">
      <c r="A31" s="5">
        <f>IFERROR(__xludf.DUMMYFUNCTION("""COMPUTED_VALUE"""),50105.0)</f>
        <v>50105</v>
      </c>
      <c r="B31" s="5" t="str">
        <f>IFERROR(__xludf.DUMMYFUNCTION("""COMPUTED_VALUE"""),"佐藤 頌子")</f>
        <v>佐藤 頌子</v>
      </c>
      <c r="C31" s="5" t="str">
        <f>IFERROR(__xludf.DUMMYFUNCTION("""COMPUTED_VALUE"""),"さとう しょうこ")</f>
        <v>さとう しょうこ</v>
      </c>
      <c r="D31" s="5">
        <f>IFERROR(__xludf.DUMMYFUNCTION("""COMPUTED_VALUE"""),3.0)</f>
        <v>3</v>
      </c>
      <c r="E31" s="5" t="str">
        <f>IFERROR(__xludf.DUMMYFUNCTION("""COMPUTED_VALUE"""),"女")</f>
        <v>女</v>
      </c>
      <c r="F31" s="5" t="str">
        <f>IFERROR(__xludf.DUMMYFUNCTION("""COMPUTED_VALUE"""),"×欠場")</f>
        <v>×欠場</v>
      </c>
      <c r="G31" s="5" t="str">
        <f>IFERROR(__xludf.DUMMYFUNCTION("""COMPUTED_VALUE"""),"×欠場")</f>
        <v>×欠場</v>
      </c>
      <c r="H31" s="5"/>
      <c r="I31" s="5" t="str">
        <f>IFERROR(__xludf.DUMMYFUNCTION("""COMPUTED_VALUE"""),"×参加しない")</f>
        <v>×参加しない</v>
      </c>
      <c r="J31" s="5"/>
      <c r="K31" s="12">
        <f t="shared" si="2"/>
        <v>0</v>
      </c>
    </row>
    <row r="32" ht="19.5" customHeight="1">
      <c r="A32" s="5">
        <f>IFERROR(__xludf.DUMMYFUNCTION("""COMPUTED_VALUE"""),150105.0)</f>
        <v>150105</v>
      </c>
      <c r="B32" s="5" t="str">
        <f>IFERROR(__xludf.DUMMYFUNCTION("""COMPUTED_VALUE"""),"丸田祐大")</f>
        <v>丸田祐大</v>
      </c>
      <c r="C32" s="5" t="str">
        <f>IFERROR(__xludf.DUMMYFUNCTION("""COMPUTED_VALUE"""),"まるたゆうだい")</f>
        <v>まるたゆうだい</v>
      </c>
      <c r="D32" s="5">
        <f>IFERROR(__xludf.DUMMYFUNCTION("""COMPUTED_VALUE"""),3.0)</f>
        <v>3</v>
      </c>
      <c r="E32" s="5" t="str">
        <f>IFERROR(__xludf.DUMMYFUNCTION("""COMPUTED_VALUE"""),"男")</f>
        <v>男</v>
      </c>
      <c r="F32" s="5" t="str">
        <f>IFERROR(__xludf.DUMMYFUNCTION("""COMPUTED_VALUE"""),"MUA")</f>
        <v>MUA</v>
      </c>
      <c r="G32" s="5" t="str">
        <f>IFERROR(__xludf.DUMMYFUNCTION("""COMPUTED_VALUE"""),"○出場")</f>
        <v>○出場</v>
      </c>
      <c r="H32" s="5">
        <f>IFERROR(__xludf.DUMMYFUNCTION("""COMPUTED_VALUE"""),519413.0)</f>
        <v>519413</v>
      </c>
      <c r="I32" s="5" t="str">
        <f>IFERROR(__xludf.DUMMYFUNCTION("""COMPUTED_VALUE"""),"○参加する")</f>
        <v>○参加する</v>
      </c>
      <c r="J32" s="5"/>
      <c r="K32" s="12">
        <f t="shared" si="2"/>
        <v>1</v>
      </c>
    </row>
    <row r="33" ht="19.5" customHeight="1">
      <c r="A33" s="5">
        <f>IFERROR(__xludf.DUMMYFUNCTION("""COMPUTED_VALUE"""),150106.0)</f>
        <v>150106</v>
      </c>
      <c r="B33" s="5" t="str">
        <f>IFERROR(__xludf.DUMMYFUNCTION("""COMPUTED_VALUE"""),"波多野直人")</f>
        <v>波多野直人</v>
      </c>
      <c r="C33" s="5" t="str">
        <f>IFERROR(__xludf.DUMMYFUNCTION("""COMPUTED_VALUE"""),"はたのなおと")</f>
        <v>はたのなおと</v>
      </c>
      <c r="D33" s="5">
        <f>IFERROR(__xludf.DUMMYFUNCTION("""COMPUTED_VALUE"""),3.0)</f>
        <v>3</v>
      </c>
      <c r="E33" s="5" t="str">
        <f>IFERROR(__xludf.DUMMYFUNCTION("""COMPUTED_VALUE"""),"男")</f>
        <v>男</v>
      </c>
      <c r="F33" s="5" t="str">
        <f>IFERROR(__xludf.DUMMYFUNCTION("""COMPUTED_VALUE"""),"MUA")</f>
        <v>MUA</v>
      </c>
      <c r="G33" s="5" t="str">
        <f>IFERROR(__xludf.DUMMYFUNCTION("""COMPUTED_VALUE"""),"○出場")</f>
        <v>○出場</v>
      </c>
      <c r="H33" s="5">
        <f>IFERROR(__xludf.DUMMYFUNCTION("""COMPUTED_VALUE"""),519409.0)</f>
        <v>519409</v>
      </c>
      <c r="I33" s="5" t="str">
        <f>IFERROR(__xludf.DUMMYFUNCTION("""COMPUTED_VALUE"""),"○参加する")</f>
        <v>○参加する</v>
      </c>
      <c r="J33" s="5"/>
      <c r="K33" s="12">
        <f t="shared" si="2"/>
        <v>1</v>
      </c>
    </row>
    <row r="34" ht="19.5" customHeight="1">
      <c r="A34" s="5">
        <f>IFERROR(__xludf.DUMMYFUNCTION("""COMPUTED_VALUE"""),150108.0)</f>
        <v>150108</v>
      </c>
      <c r="B34" s="5" t="str">
        <f>IFERROR(__xludf.DUMMYFUNCTION("""COMPUTED_VALUE"""),"吉岡奨悟")</f>
        <v>吉岡奨悟</v>
      </c>
      <c r="C34" s="5" t="str">
        <f>IFERROR(__xludf.DUMMYFUNCTION("""COMPUTED_VALUE"""),"よしおかしょうご")</f>
        <v>よしおかしょうご</v>
      </c>
      <c r="D34" s="5">
        <f>IFERROR(__xludf.DUMMYFUNCTION("""COMPUTED_VALUE"""),3.0)</f>
        <v>3</v>
      </c>
      <c r="E34" s="5" t="str">
        <f>IFERROR(__xludf.DUMMYFUNCTION("""COMPUTED_VALUE"""),"男")</f>
        <v>男</v>
      </c>
      <c r="F34" s="5" t="str">
        <f>IFERROR(__xludf.DUMMYFUNCTION("""COMPUTED_VALUE"""),"MUA")</f>
        <v>MUA</v>
      </c>
      <c r="G34" s="5" t="str">
        <f>IFERROR(__xludf.DUMMYFUNCTION("""COMPUTED_VALUE"""),"○出場")</f>
        <v>○出場</v>
      </c>
      <c r="H34" s="5">
        <f>IFERROR(__xludf.DUMMYFUNCTION("""COMPUTED_VALUE"""),519403.0)</f>
        <v>519403</v>
      </c>
      <c r="I34" s="5" t="str">
        <f>IFERROR(__xludf.DUMMYFUNCTION("""COMPUTED_VALUE"""),"×参加しない")</f>
        <v>×参加しない</v>
      </c>
      <c r="J34" s="5"/>
      <c r="K34" s="12">
        <f t="shared" si="2"/>
        <v>1</v>
      </c>
    </row>
    <row r="35" ht="19.5" customHeight="1">
      <c r="A35" s="5">
        <f>IFERROR(__xludf.DUMMYFUNCTION("""COMPUTED_VALUE"""),150110.0)</f>
        <v>150110</v>
      </c>
      <c r="B35" s="5" t="str">
        <f>IFERROR(__xludf.DUMMYFUNCTION("""COMPUTED_VALUE"""),"山本敬太")</f>
        <v>山本敬太</v>
      </c>
      <c r="C35" s="5" t="str">
        <f>IFERROR(__xludf.DUMMYFUNCTION("""COMPUTED_VALUE"""),"やまもとけいた")</f>
        <v>やまもとけいた</v>
      </c>
      <c r="D35" s="5">
        <f>IFERROR(__xludf.DUMMYFUNCTION("""COMPUTED_VALUE"""),3.0)</f>
        <v>3</v>
      </c>
      <c r="E35" s="5" t="str">
        <f>IFERROR(__xludf.DUMMYFUNCTION("""COMPUTED_VALUE"""),"男")</f>
        <v>男</v>
      </c>
      <c r="F35" s="5" t="str">
        <f>IFERROR(__xludf.DUMMYFUNCTION("""COMPUTED_VALUE"""),"MUA")</f>
        <v>MUA</v>
      </c>
      <c r="G35" s="5" t="str">
        <f>IFERROR(__xludf.DUMMYFUNCTION("""COMPUTED_VALUE"""),"○出場")</f>
        <v>○出場</v>
      </c>
      <c r="H35" s="5">
        <f>IFERROR(__xludf.DUMMYFUNCTION("""COMPUTED_VALUE"""),519416.0)</f>
        <v>519416</v>
      </c>
      <c r="I35" s="5" t="str">
        <f>IFERROR(__xludf.DUMMYFUNCTION("""COMPUTED_VALUE"""),"○参加する")</f>
        <v>○参加する</v>
      </c>
      <c r="J35" s="5"/>
      <c r="K35" s="12">
        <f t="shared" si="2"/>
        <v>1</v>
      </c>
    </row>
    <row r="36" ht="19.5" customHeight="1">
      <c r="A36" s="5">
        <f>IFERROR(__xludf.DUMMYFUNCTION("""COMPUTED_VALUE"""),150111.0)</f>
        <v>150111</v>
      </c>
      <c r="B36" s="5" t="str">
        <f>IFERROR(__xludf.DUMMYFUNCTION("""COMPUTED_VALUE"""),"高橋祐太")</f>
        <v>高橋祐太</v>
      </c>
      <c r="C36" s="5" t="str">
        <f>IFERROR(__xludf.DUMMYFUNCTION("""COMPUTED_VALUE"""),"たかはしゆうた")</f>
        <v>たかはしゆうた</v>
      </c>
      <c r="D36" s="5">
        <f>IFERROR(__xludf.DUMMYFUNCTION("""COMPUTED_VALUE"""),3.0)</f>
        <v>3</v>
      </c>
      <c r="E36" s="5" t="str">
        <f>IFERROR(__xludf.DUMMYFUNCTION("""COMPUTED_VALUE"""),"男")</f>
        <v>男</v>
      </c>
      <c r="F36" s="5" t="str">
        <f>IFERROR(__xludf.DUMMYFUNCTION("""COMPUTED_VALUE"""),"MUA")</f>
        <v>MUA</v>
      </c>
      <c r="G36" s="5" t="str">
        <f>IFERROR(__xludf.DUMMYFUNCTION("""COMPUTED_VALUE"""),"○出場")</f>
        <v>○出場</v>
      </c>
      <c r="H36" s="5"/>
      <c r="I36" s="5" t="str">
        <f>IFERROR(__xludf.DUMMYFUNCTION("""COMPUTED_VALUE"""),"○参加する")</f>
        <v>○参加する</v>
      </c>
      <c r="J36" s="5"/>
      <c r="K36" s="12">
        <f t="shared" si="2"/>
        <v>1</v>
      </c>
    </row>
    <row r="37" ht="19.5" customHeight="1">
      <c r="A37" s="5">
        <f>IFERROR(__xludf.DUMMYFUNCTION("""COMPUTED_VALUE"""),150112.0)</f>
        <v>150112</v>
      </c>
      <c r="B37" s="5" t="str">
        <f>IFERROR(__xludf.DUMMYFUNCTION("""COMPUTED_VALUE"""),"草野伊武紀")</f>
        <v>草野伊武紀</v>
      </c>
      <c r="C37" s="5" t="str">
        <f>IFERROR(__xludf.DUMMYFUNCTION("""COMPUTED_VALUE"""),"くさのいぶき")</f>
        <v>くさのいぶき</v>
      </c>
      <c r="D37" s="5">
        <f>IFERROR(__xludf.DUMMYFUNCTION("""COMPUTED_VALUE"""),3.0)</f>
        <v>3</v>
      </c>
      <c r="E37" s="5" t="str">
        <f>IFERROR(__xludf.DUMMYFUNCTION("""COMPUTED_VALUE"""),"男")</f>
        <v>男</v>
      </c>
      <c r="F37" s="5" t="str">
        <f>IFERROR(__xludf.DUMMYFUNCTION("""COMPUTED_VALUE"""),"×欠場")</f>
        <v>×欠場</v>
      </c>
      <c r="G37" s="5" t="str">
        <f>IFERROR(__xludf.DUMMYFUNCTION("""COMPUTED_VALUE"""),"×欠場")</f>
        <v>×欠場</v>
      </c>
      <c r="H37" s="5"/>
      <c r="I37" s="5" t="str">
        <f>IFERROR(__xludf.DUMMYFUNCTION("""COMPUTED_VALUE"""),"×参加しない")</f>
        <v>×参加しない</v>
      </c>
      <c r="J37" s="5"/>
      <c r="K37" s="12">
        <f t="shared" si="2"/>
        <v>0</v>
      </c>
    </row>
    <row r="38" ht="19.5" customHeight="1">
      <c r="A38" s="5">
        <f>IFERROR(__xludf.DUMMYFUNCTION("""COMPUTED_VALUE"""),150113.0)</f>
        <v>150113</v>
      </c>
      <c r="B38" s="5" t="str">
        <f>IFERROR(__xludf.DUMMYFUNCTION("""COMPUTED_VALUE"""),"門瑞起")</f>
        <v>門瑞起</v>
      </c>
      <c r="C38" s="5" t="str">
        <f>IFERROR(__xludf.DUMMYFUNCTION("""COMPUTED_VALUE"""),"かどみずき")</f>
        <v>かどみずき</v>
      </c>
      <c r="D38" s="5">
        <f>IFERROR(__xludf.DUMMYFUNCTION("""COMPUTED_VALUE"""),3.0)</f>
        <v>3</v>
      </c>
      <c r="E38" s="5" t="str">
        <f>IFERROR(__xludf.DUMMYFUNCTION("""COMPUTED_VALUE"""),"男")</f>
        <v>男</v>
      </c>
      <c r="F38" s="5" t="str">
        <f>IFERROR(__xludf.DUMMYFUNCTION("""COMPUTED_VALUE"""),"MUA")</f>
        <v>MUA</v>
      </c>
      <c r="G38" s="5" t="str">
        <f>IFERROR(__xludf.DUMMYFUNCTION("""COMPUTED_VALUE"""),"○出場")</f>
        <v>○出場</v>
      </c>
      <c r="H38" s="5"/>
      <c r="I38" s="5" t="str">
        <f>IFERROR(__xludf.DUMMYFUNCTION("""COMPUTED_VALUE"""),"○参加する")</f>
        <v>○参加する</v>
      </c>
      <c r="J38" s="5"/>
      <c r="K38" s="12">
        <f t="shared" si="2"/>
        <v>1</v>
      </c>
    </row>
    <row r="39" ht="19.5" customHeight="1">
      <c r="A39" s="5">
        <f>IFERROR(__xludf.DUMMYFUNCTION("""COMPUTED_VALUE"""),150117.0)</f>
        <v>150117</v>
      </c>
      <c r="B39" s="5" t="str">
        <f>IFERROR(__xludf.DUMMYFUNCTION("""COMPUTED_VALUE"""),"鈴江晃人")</f>
        <v>鈴江晃人</v>
      </c>
      <c r="C39" s="5" t="str">
        <f>IFERROR(__xludf.DUMMYFUNCTION("""COMPUTED_VALUE"""),"すずえあきと")</f>
        <v>すずえあきと</v>
      </c>
      <c r="D39" s="5">
        <f>IFERROR(__xludf.DUMMYFUNCTION("""COMPUTED_VALUE"""),3.0)</f>
        <v>3</v>
      </c>
      <c r="E39" s="5" t="str">
        <f>IFERROR(__xludf.DUMMYFUNCTION("""COMPUTED_VALUE"""),"男")</f>
        <v>男</v>
      </c>
      <c r="F39" s="5" t="str">
        <f>IFERROR(__xludf.DUMMYFUNCTION("""COMPUTED_VALUE"""),"MUA")</f>
        <v>MUA</v>
      </c>
      <c r="G39" s="5" t="str">
        <f>IFERROR(__xludf.DUMMYFUNCTION("""COMPUTED_VALUE"""),"○出場")</f>
        <v>○出場</v>
      </c>
      <c r="H39" s="5"/>
      <c r="I39" s="5" t="str">
        <f>IFERROR(__xludf.DUMMYFUNCTION("""COMPUTED_VALUE"""),"×参加しない")</f>
        <v>×参加しない</v>
      </c>
      <c r="J39" s="5" t="str">
        <f>IFERROR(__xludf.DUMMYFUNCTION("""COMPUTED_VALUE"""),"3月15、16日")</f>
        <v>3月15、16日</v>
      </c>
      <c r="K39" s="12">
        <f t="shared" si="2"/>
        <v>1</v>
      </c>
    </row>
    <row r="40" ht="19.5" customHeight="1">
      <c r="A40" s="5">
        <f>IFERROR(__xludf.DUMMYFUNCTION("""COMPUTED_VALUE"""),50101.0)</f>
        <v>50101</v>
      </c>
      <c r="B40" s="5" t="str">
        <f>IFERROR(__xludf.DUMMYFUNCTION("""COMPUTED_VALUE"""),"満田 壮晴")</f>
        <v>満田 壮晴</v>
      </c>
      <c r="C40" s="5" t="str">
        <f>IFERROR(__xludf.DUMMYFUNCTION("""COMPUTED_VALUE"""),"みつだ たけはる")</f>
        <v>みつだ たけはる</v>
      </c>
      <c r="D40" s="5">
        <f>IFERROR(__xludf.DUMMYFUNCTION("""COMPUTED_VALUE"""),4.0)</f>
        <v>4</v>
      </c>
      <c r="E40" s="5" t="str">
        <f>IFERROR(__xludf.DUMMYFUNCTION("""COMPUTED_VALUE"""),"男")</f>
        <v>男</v>
      </c>
      <c r="F40" s="5" t="str">
        <f>IFERROR(__xludf.DUMMYFUNCTION("""COMPUTED_VALUE"""),"MUA")</f>
        <v>MUA</v>
      </c>
      <c r="G40" s="5" t="str">
        <f>IFERROR(__xludf.DUMMYFUNCTION("""COMPUTED_VALUE"""),"○出場")</f>
        <v>○出場</v>
      </c>
      <c r="H40" s="5"/>
      <c r="I40" s="5" t="str">
        <f>IFERROR(__xludf.DUMMYFUNCTION("""COMPUTED_VALUE"""),"○参加する")</f>
        <v>○参加する</v>
      </c>
      <c r="J40" s="5"/>
      <c r="K40" s="12">
        <f t="shared" si="2"/>
        <v>1</v>
      </c>
    </row>
    <row r="41" ht="19.5" customHeight="1">
      <c r="A41" s="5">
        <f>IFERROR(__xludf.DUMMYFUNCTION("""COMPUTED_VALUE"""),50102.0)</f>
        <v>50102</v>
      </c>
      <c r="B41" s="5" t="str">
        <f>IFERROR(__xludf.DUMMYFUNCTION("""COMPUTED_VALUE"""),"高野 澄佳")</f>
        <v>高野 澄佳</v>
      </c>
      <c r="C41" s="5" t="str">
        <f>IFERROR(__xludf.DUMMYFUNCTION("""COMPUTED_VALUE"""),"たかの すみか")</f>
        <v>たかの すみか</v>
      </c>
      <c r="D41" s="5">
        <f>IFERROR(__xludf.DUMMYFUNCTION("""COMPUTED_VALUE"""),4.0)</f>
        <v>4</v>
      </c>
      <c r="E41" s="5" t="str">
        <f>IFERROR(__xludf.DUMMYFUNCTION("""COMPUTED_VALUE"""),"女")</f>
        <v>女</v>
      </c>
      <c r="F41" s="5" t="str">
        <f>IFERROR(__xludf.DUMMYFUNCTION("""COMPUTED_VALUE"""),"WUA")</f>
        <v>WUA</v>
      </c>
      <c r="G41" s="5" t="str">
        <f>IFERROR(__xludf.DUMMYFUNCTION("""COMPUTED_VALUE"""),"○出場")</f>
        <v>○出場</v>
      </c>
      <c r="H41" s="5"/>
      <c r="I41" s="5" t="str">
        <f>IFERROR(__xludf.DUMMYFUNCTION("""COMPUTED_VALUE"""),"○参加する")</f>
        <v>○参加する</v>
      </c>
      <c r="J41" s="5"/>
      <c r="K41" s="12">
        <f t="shared" si="2"/>
        <v>1</v>
      </c>
    </row>
    <row r="42" ht="19.5" customHeight="1">
      <c r="A42" s="5">
        <f>IFERROR(__xludf.DUMMYFUNCTION("""COMPUTED_VALUE"""),50103.0)</f>
        <v>50103</v>
      </c>
      <c r="B42" s="5" t="str">
        <f>IFERROR(__xludf.DUMMYFUNCTION("""COMPUTED_VALUE"""),"林 里美")</f>
        <v>林 里美</v>
      </c>
      <c r="C42" s="5" t="str">
        <f>IFERROR(__xludf.DUMMYFUNCTION("""COMPUTED_VALUE"""),"はやし さとみ")</f>
        <v>はやし さとみ</v>
      </c>
      <c r="D42" s="5">
        <f>IFERROR(__xludf.DUMMYFUNCTION("""COMPUTED_VALUE"""),4.0)</f>
        <v>4</v>
      </c>
      <c r="E42" s="5" t="str">
        <f>IFERROR(__xludf.DUMMYFUNCTION("""COMPUTED_VALUE"""),"女")</f>
        <v>女</v>
      </c>
      <c r="F42" s="5" t="str">
        <f>IFERROR(__xludf.DUMMYFUNCTION("""COMPUTED_VALUE"""),"WUA")</f>
        <v>WUA</v>
      </c>
      <c r="G42" s="5" t="str">
        <f>IFERROR(__xludf.DUMMYFUNCTION("""COMPUTED_VALUE"""),"○出場")</f>
        <v>○出場</v>
      </c>
      <c r="H42" s="5">
        <f>IFERROR(__xludf.DUMMYFUNCTION("""COMPUTED_VALUE"""),513281.0)</f>
        <v>513281</v>
      </c>
      <c r="I42" s="5" t="str">
        <f>IFERROR(__xludf.DUMMYFUNCTION("""COMPUTED_VALUE"""),"○参加する")</f>
        <v>○参加する</v>
      </c>
      <c r="J42" s="5"/>
      <c r="K42" s="12">
        <f t="shared" si="2"/>
        <v>1</v>
      </c>
    </row>
    <row r="43" ht="19.5" customHeight="1">
      <c r="A43" s="5">
        <f>IFERROR(__xludf.DUMMYFUNCTION("""COMPUTED_VALUE"""),50110.0)</f>
        <v>50110</v>
      </c>
      <c r="B43" s="5" t="str">
        <f>IFERROR(__xludf.DUMMYFUNCTION("""COMPUTED_VALUE"""),"菅 悠柾")</f>
        <v>菅 悠柾</v>
      </c>
      <c r="C43" s="5" t="str">
        <f>IFERROR(__xludf.DUMMYFUNCTION("""COMPUTED_VALUE"""),"かん ゆきまさ")</f>
        <v>かん ゆきまさ</v>
      </c>
      <c r="D43" s="5">
        <f>IFERROR(__xludf.DUMMYFUNCTION("""COMPUTED_VALUE"""),4.0)</f>
        <v>4</v>
      </c>
      <c r="E43" s="5" t="str">
        <f>IFERROR(__xludf.DUMMYFUNCTION("""COMPUTED_VALUE"""),"男")</f>
        <v>男</v>
      </c>
      <c r="F43" s="5" t="str">
        <f>IFERROR(__xludf.DUMMYFUNCTION("""COMPUTED_VALUE"""),"MUA")</f>
        <v>MUA</v>
      </c>
      <c r="G43" s="5" t="str">
        <f>IFERROR(__xludf.DUMMYFUNCTION("""COMPUTED_VALUE"""),"○出場")</f>
        <v>○出場</v>
      </c>
      <c r="H43" s="5"/>
      <c r="I43" s="5" t="str">
        <f>IFERROR(__xludf.DUMMYFUNCTION("""COMPUTED_VALUE"""),"○参加する")</f>
        <v>○参加する</v>
      </c>
      <c r="J43" s="5"/>
      <c r="K43" s="12">
        <f t="shared" si="2"/>
        <v>1</v>
      </c>
    </row>
    <row r="44" ht="19.5" customHeight="1">
      <c r="A44" s="5">
        <f>IFERROR(__xludf.DUMMYFUNCTION("""COMPUTED_VALUE"""),350101.0)</f>
        <v>350101</v>
      </c>
      <c r="B44" s="5" t="str">
        <f>IFERROR(__xludf.DUMMYFUNCTION("""COMPUTED_VALUE"""),"高橋茉莉奈")</f>
        <v>高橋茉莉奈</v>
      </c>
      <c r="C44" s="5" t="str">
        <f>IFERROR(__xludf.DUMMYFUNCTION("""COMPUTED_VALUE"""),"たかはしまりな")</f>
        <v>たかはしまりな</v>
      </c>
      <c r="D44" s="5">
        <f>IFERROR(__xludf.DUMMYFUNCTION("""COMPUTED_VALUE"""),4.0)</f>
        <v>4</v>
      </c>
      <c r="E44" s="5" t="str">
        <f>IFERROR(__xludf.DUMMYFUNCTION("""COMPUTED_VALUE"""),"女")</f>
        <v>女</v>
      </c>
      <c r="F44" s="5" t="str">
        <f>IFERROR(__xludf.DUMMYFUNCTION("""COMPUTED_VALUE"""),"WUA")</f>
        <v>WUA</v>
      </c>
      <c r="G44" s="5" t="str">
        <f>IFERROR(__xludf.DUMMYFUNCTION("""COMPUTED_VALUE"""),"○出場")</f>
        <v>○出場</v>
      </c>
      <c r="H44" s="5"/>
      <c r="I44" s="5" t="str">
        <f>IFERROR(__xludf.DUMMYFUNCTION("""COMPUTED_VALUE"""),"○参加する")</f>
        <v>○参加する</v>
      </c>
      <c r="J44" s="5"/>
      <c r="K44" s="12">
        <f t="shared" si="2"/>
        <v>1</v>
      </c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2">
        <f t="shared" si="2"/>
        <v>0</v>
      </c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2">
        <f t="shared" si="2"/>
        <v>0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1699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36</v>
      </c>
      <c r="E4" s="7">
        <f t="shared" ref="E4:E8" si="1">C4*D4</f>
        <v>306000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4</v>
      </c>
      <c r="E5" s="7">
        <f t="shared" si="1"/>
        <v>32000</v>
      </c>
    </row>
    <row r="6" ht="19.5" customHeight="1">
      <c r="A6" s="2" t="s">
        <v>9</v>
      </c>
      <c r="B6" s="4"/>
      <c r="C6" s="7">
        <v>32700.0</v>
      </c>
      <c r="D6" s="5">
        <f>D4+D5</f>
        <v>40</v>
      </c>
      <c r="E6" s="7">
        <f t="shared" si="1"/>
        <v>1308000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2</v>
      </c>
      <c r="E7" s="7">
        <f t="shared" si="1"/>
        <v>9000</v>
      </c>
    </row>
    <row r="8" ht="19.5" customHeight="1">
      <c r="A8" s="2" t="s">
        <v>11</v>
      </c>
      <c r="B8" s="4"/>
      <c r="C8" s="7">
        <v>500.0</v>
      </c>
      <c r="D8" s="5">
        <f>D4-COUNT(H14:H201)</f>
        <v>7</v>
      </c>
      <c r="E8" s="7">
        <f t="shared" si="1"/>
        <v>3500</v>
      </c>
    </row>
    <row r="9" ht="19.5" customHeight="1">
      <c r="A9" s="9"/>
      <c r="B9" s="9"/>
      <c r="C9" s="9"/>
      <c r="D9" s="10" t="s">
        <v>5</v>
      </c>
      <c r="E9" s="11">
        <f>SUM(E4:E8)</f>
        <v>1658500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IFERROR(__xludf.DUMMYFUNCTION("FILTER('個人別エントリー'!C2:L1018,'個人別エントリー'!B2:B1018=A1)"),350401.0)</f>
        <v>350401</v>
      </c>
      <c r="B14" s="5" t="str">
        <f>IFERROR(__xludf.DUMMYFUNCTION("""COMPUTED_VALUE"""),"石川拓真")</f>
        <v>石川拓真</v>
      </c>
      <c r="C14" s="5" t="str">
        <f>IFERROR(__xludf.DUMMYFUNCTION("""COMPUTED_VALUE"""),"いしかわたくま")</f>
        <v>いしかわたくま</v>
      </c>
      <c r="D14" s="5">
        <f>IFERROR(__xludf.DUMMYFUNCTION("""COMPUTED_VALUE"""),1.0)</f>
        <v>1</v>
      </c>
      <c r="E14" s="5" t="str">
        <f>IFERROR(__xludf.DUMMYFUNCTION("""COMPUTED_VALUE"""),"男")</f>
        <v>男</v>
      </c>
      <c r="F14" s="5" t="str">
        <f>IFERROR(__xludf.DUMMYFUNCTION("""COMPUTED_VALUE"""),"×欠場")</f>
        <v>×欠場</v>
      </c>
      <c r="G14" s="5" t="str">
        <f>IFERROR(__xludf.DUMMYFUNCTION("""COMPUTED_VALUE"""),"×欠場")</f>
        <v>×欠場</v>
      </c>
      <c r="H14" s="5"/>
      <c r="I14" s="5" t="str">
        <f>IFERROR(__xludf.DUMMYFUNCTION("""COMPUTED_VALUE"""),"×参加しない")</f>
        <v>×参加しない</v>
      </c>
      <c r="J14" s="5"/>
      <c r="K14" s="12">
        <f t="shared" ref="K14:K201" si="2">IF(AND(OR(F14="×欠場",F14=""),OR(G14="×欠場",G14="")),0,1)</f>
        <v>0</v>
      </c>
      <c r="M14" s="5" t="str">
        <f>IFERROR(__xludf.DUMMYFUNCTION("FILTER('リレー内容'!$C$2:$K$51,'リレー内容'!$B$2:$B$51=A1)"),"○出場")</f>
        <v>○出場</v>
      </c>
      <c r="N14" s="5" t="str">
        <f>IFERROR(__xludf.DUMMYFUNCTION("""COMPUTED_VALUE"""),"○出場")</f>
        <v>○出場</v>
      </c>
      <c r="O14" s="5">
        <f>IFERROR(__xludf.DUMMYFUNCTION("""COMPUTED_VALUE"""),7.0)</f>
        <v>7</v>
      </c>
      <c r="P14" s="5">
        <f>IFERROR(__xludf.DUMMYFUNCTION("""COMPUTED_VALUE"""),3.0)</f>
        <v>3</v>
      </c>
      <c r="Q14" s="5">
        <f>IFERROR(__xludf.DUMMYFUNCTION("""COMPUTED_VALUE"""),0.0)</f>
        <v>0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IFERROR(__xludf.DUMMYFUNCTION("""COMPUTED_VALUE"""),1.0)</f>
        <v>1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IFERROR(__xludf.DUMMYFUNCTION("""COMPUTED_VALUE"""),350402.0)</f>
        <v>350402</v>
      </c>
      <c r="B15" s="5" t="str">
        <f>IFERROR(__xludf.DUMMYFUNCTION("""COMPUTED_VALUE"""),"川崎健太郎")</f>
        <v>川崎健太郎</v>
      </c>
      <c r="C15" s="5" t="str">
        <f>IFERROR(__xludf.DUMMYFUNCTION("""COMPUTED_VALUE"""),"かわさきけんたろう")</f>
        <v>かわさきけんたろう</v>
      </c>
      <c r="D15" s="5">
        <f>IFERROR(__xludf.DUMMYFUNCTION("""COMPUTED_VALUE"""),1.0)</f>
        <v>1</v>
      </c>
      <c r="E15" s="5" t="str">
        <f>IFERROR(__xludf.DUMMYFUNCTION("""COMPUTED_VALUE"""),"男")</f>
        <v>男</v>
      </c>
      <c r="F15" s="5" t="str">
        <f>IFERROR(__xludf.DUMMYFUNCTION("""COMPUTED_VALUE"""),"×欠場")</f>
        <v>×欠場</v>
      </c>
      <c r="G15" s="5" t="str">
        <f>IFERROR(__xludf.DUMMYFUNCTION("""COMPUTED_VALUE"""),"×欠場")</f>
        <v>×欠場</v>
      </c>
      <c r="H15" s="5"/>
      <c r="I15" s="5" t="str">
        <f>IFERROR(__xludf.DUMMYFUNCTION("""COMPUTED_VALUE"""),"×参加しない")</f>
        <v>×参加しない</v>
      </c>
      <c r="J15" s="5"/>
      <c r="K15" s="12">
        <f t="shared" si="2"/>
        <v>0</v>
      </c>
    </row>
    <row r="16" ht="19.5" customHeight="1">
      <c r="A16" s="5">
        <f>IFERROR(__xludf.DUMMYFUNCTION("""COMPUTED_VALUE"""),350403.0)</f>
        <v>350403</v>
      </c>
      <c r="B16" s="5" t="str">
        <f>IFERROR(__xludf.DUMMYFUNCTION("""COMPUTED_VALUE"""),"瓜生煌")</f>
        <v>瓜生煌</v>
      </c>
      <c r="C16" s="5" t="str">
        <f>IFERROR(__xludf.DUMMYFUNCTION("""COMPUTED_VALUE"""),"うりゅうきら")</f>
        <v>うりゅうきら</v>
      </c>
      <c r="D16" s="5">
        <f>IFERROR(__xludf.DUMMYFUNCTION("""COMPUTED_VALUE"""),1.0)</f>
        <v>1</v>
      </c>
      <c r="E16" s="5" t="str">
        <f>IFERROR(__xludf.DUMMYFUNCTION("""COMPUTED_VALUE"""),"男")</f>
        <v>男</v>
      </c>
      <c r="F16" s="5" t="str">
        <f>IFERROR(__xludf.DUMMYFUNCTION("""COMPUTED_VALUE"""),"×欠場")</f>
        <v>×欠場</v>
      </c>
      <c r="G16" s="5" t="str">
        <f>IFERROR(__xludf.DUMMYFUNCTION("""COMPUTED_VALUE"""),"×欠場")</f>
        <v>×欠場</v>
      </c>
      <c r="H16" s="5"/>
      <c r="I16" s="5" t="str">
        <f>IFERROR(__xludf.DUMMYFUNCTION("""COMPUTED_VALUE"""),"×参加しない")</f>
        <v>×参加しない</v>
      </c>
      <c r="J16" s="5"/>
      <c r="K16" s="12">
        <f t="shared" si="2"/>
        <v>0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>
        <f>IFERROR(__xludf.DUMMYFUNCTION("""COMPUTED_VALUE"""),350404.0)</f>
        <v>350404</v>
      </c>
      <c r="B17" s="5" t="str">
        <f>IFERROR(__xludf.DUMMYFUNCTION("""COMPUTED_VALUE"""),"西山晋平")</f>
        <v>西山晋平</v>
      </c>
      <c r="C17" s="5" t="str">
        <f>IFERROR(__xludf.DUMMYFUNCTION("""COMPUTED_VALUE"""),"にしやましんぺい")</f>
        <v>にしやましんぺい</v>
      </c>
      <c r="D17" s="5">
        <f>IFERROR(__xludf.DUMMYFUNCTION("""COMPUTED_VALUE"""),1.0)</f>
        <v>1</v>
      </c>
      <c r="E17" s="5" t="str">
        <f>IFERROR(__xludf.DUMMYFUNCTION("""COMPUTED_VALUE"""),"男")</f>
        <v>男</v>
      </c>
      <c r="F17" s="5" t="str">
        <f>IFERROR(__xludf.DUMMYFUNCTION("""COMPUTED_VALUE"""),"MUF")</f>
        <v>MUF</v>
      </c>
      <c r="G17" s="5" t="str">
        <f>IFERROR(__xludf.DUMMYFUNCTION("""COMPUTED_VALUE"""),"○出場")</f>
        <v>○出場</v>
      </c>
      <c r="H17" s="5"/>
      <c r="I17" s="5" t="str">
        <f>IFERROR(__xludf.DUMMYFUNCTION("""COMPUTED_VALUE"""),"○参加する")</f>
        <v>○参加する</v>
      </c>
      <c r="J17" s="5"/>
      <c r="K17" s="12">
        <f t="shared" si="2"/>
        <v>1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>
        <f>IFERROR(__xludf.DUMMYFUNCTION("""COMPUTED_VALUE"""),350405.0)</f>
        <v>350405</v>
      </c>
      <c r="B18" s="5" t="str">
        <f>IFERROR(__xludf.DUMMYFUNCTION("""COMPUTED_VALUE"""),"滝柳祥吾")</f>
        <v>滝柳祥吾</v>
      </c>
      <c r="C18" s="5" t="str">
        <f>IFERROR(__xludf.DUMMYFUNCTION("""COMPUTED_VALUE"""),"たきやなぎしょうご")</f>
        <v>たきやなぎしょうご</v>
      </c>
      <c r="D18" s="5">
        <f>IFERROR(__xludf.DUMMYFUNCTION("""COMPUTED_VALUE"""),1.0)</f>
        <v>1</v>
      </c>
      <c r="E18" s="5" t="str">
        <f>IFERROR(__xludf.DUMMYFUNCTION("""COMPUTED_VALUE"""),"男")</f>
        <v>男</v>
      </c>
      <c r="F18" s="5" t="str">
        <f>IFERROR(__xludf.DUMMYFUNCTION("""COMPUTED_VALUE"""),"×欠場")</f>
        <v>×欠場</v>
      </c>
      <c r="G18" s="5" t="str">
        <f>IFERROR(__xludf.DUMMYFUNCTION("""COMPUTED_VALUE"""),"×欠場")</f>
        <v>×欠場</v>
      </c>
      <c r="H18" s="5"/>
      <c r="I18" s="5" t="str">
        <f>IFERROR(__xludf.DUMMYFUNCTION("""COMPUTED_VALUE"""),"×参加しない")</f>
        <v>×参加しない</v>
      </c>
      <c r="J18" s="5"/>
      <c r="K18" s="12">
        <f t="shared" si="2"/>
        <v>0</v>
      </c>
      <c r="M18" s="5" t="s">
        <v>28</v>
      </c>
      <c r="N18" s="2" t="s">
        <v>1699</v>
      </c>
      <c r="O18" s="4"/>
      <c r="P18" s="2" t="s">
        <v>2335</v>
      </c>
      <c r="Q18" s="3"/>
      <c r="R18" s="3"/>
      <c r="S18" s="3"/>
      <c r="T18" s="3"/>
      <c r="U18" s="4"/>
    </row>
    <row r="19" ht="19.5" customHeight="1">
      <c r="A19" s="5">
        <f>IFERROR(__xludf.DUMMYFUNCTION("""COMPUTED_VALUE"""),350406.0)</f>
        <v>350406</v>
      </c>
      <c r="B19" s="5" t="str">
        <f>IFERROR(__xludf.DUMMYFUNCTION("""COMPUTED_VALUE"""),"柳澤篤")</f>
        <v>柳澤篤</v>
      </c>
      <c r="C19" s="5" t="str">
        <f>IFERROR(__xludf.DUMMYFUNCTION("""COMPUTED_VALUE"""),"やなぎさわあつし")</f>
        <v>やなぎさわあつし</v>
      </c>
      <c r="D19" s="5">
        <f>IFERROR(__xludf.DUMMYFUNCTION("""COMPUTED_VALUE"""),1.0)</f>
        <v>1</v>
      </c>
      <c r="E19" s="5" t="str">
        <f>IFERROR(__xludf.DUMMYFUNCTION("""COMPUTED_VALUE"""),"男")</f>
        <v>男</v>
      </c>
      <c r="F19" s="5" t="str">
        <f>IFERROR(__xludf.DUMMYFUNCTION("""COMPUTED_VALUE"""),"×欠場")</f>
        <v>×欠場</v>
      </c>
      <c r="G19" s="5" t="str">
        <f>IFERROR(__xludf.DUMMYFUNCTION("""COMPUTED_VALUE"""),"×欠場")</f>
        <v>×欠場</v>
      </c>
      <c r="H19" s="5"/>
      <c r="I19" s="5" t="str">
        <f>IFERROR(__xludf.DUMMYFUNCTION("""COMPUTED_VALUE"""),"×参加しない")</f>
        <v>×参加しない</v>
      </c>
      <c r="J19" s="5"/>
      <c r="K19" s="12">
        <f t="shared" si="2"/>
        <v>0</v>
      </c>
      <c r="M19" s="5" t="s">
        <v>32</v>
      </c>
      <c r="N19" s="2" t="s">
        <v>1699</v>
      </c>
      <c r="O19" s="4"/>
      <c r="P19" s="2" t="s">
        <v>2336</v>
      </c>
      <c r="Q19" s="3"/>
      <c r="R19" s="3"/>
      <c r="S19" s="3"/>
      <c r="T19" s="3"/>
      <c r="U19" s="4"/>
    </row>
    <row r="20" ht="19.5" customHeight="1">
      <c r="A20" s="5">
        <f>IFERROR(__xludf.DUMMYFUNCTION("""COMPUTED_VALUE"""),350407.0)</f>
        <v>350407</v>
      </c>
      <c r="B20" s="5" t="str">
        <f>IFERROR(__xludf.DUMMYFUNCTION("""COMPUTED_VALUE"""),"武久春馬")</f>
        <v>武久春馬</v>
      </c>
      <c r="C20" s="5" t="str">
        <f>IFERROR(__xludf.DUMMYFUNCTION("""COMPUTED_VALUE"""),"たけひさはるま")</f>
        <v>たけひさはるま</v>
      </c>
      <c r="D20" s="5">
        <f>IFERROR(__xludf.DUMMYFUNCTION("""COMPUTED_VALUE"""),1.0)</f>
        <v>1</v>
      </c>
      <c r="E20" s="5" t="str">
        <f>IFERROR(__xludf.DUMMYFUNCTION("""COMPUTED_VALUE"""),"男")</f>
        <v>男</v>
      </c>
      <c r="F20" s="5" t="str">
        <f>IFERROR(__xludf.DUMMYFUNCTION("""COMPUTED_VALUE"""),"×欠場")</f>
        <v>×欠場</v>
      </c>
      <c r="G20" s="5" t="str">
        <f>IFERROR(__xludf.DUMMYFUNCTION("""COMPUTED_VALUE"""),"×欠場")</f>
        <v>×欠場</v>
      </c>
      <c r="H20" s="5"/>
      <c r="I20" s="5" t="str">
        <f>IFERROR(__xludf.DUMMYFUNCTION("""COMPUTED_VALUE"""),"×参加しない")</f>
        <v>×参加しない</v>
      </c>
      <c r="J20" s="5"/>
      <c r="K20" s="12">
        <f t="shared" si="2"/>
        <v>0</v>
      </c>
    </row>
    <row r="21" ht="19.5" customHeight="1">
      <c r="A21" s="5">
        <f>IFERROR(__xludf.DUMMYFUNCTION("""COMPUTED_VALUE"""),350408.0)</f>
        <v>350408</v>
      </c>
      <c r="B21" s="5" t="str">
        <f>IFERROR(__xludf.DUMMYFUNCTION("""COMPUTED_VALUE"""),"浅井晴揮")</f>
        <v>浅井晴揮</v>
      </c>
      <c r="C21" s="5" t="str">
        <f>IFERROR(__xludf.DUMMYFUNCTION("""COMPUTED_VALUE"""),"あさいはるき")</f>
        <v>あさいはるき</v>
      </c>
      <c r="D21" s="5">
        <f>IFERROR(__xludf.DUMMYFUNCTION("""COMPUTED_VALUE"""),1.0)</f>
        <v>1</v>
      </c>
      <c r="E21" s="5" t="str">
        <f>IFERROR(__xludf.DUMMYFUNCTION("""COMPUTED_VALUE"""),"男")</f>
        <v>男</v>
      </c>
      <c r="F21" s="5" t="str">
        <f>IFERROR(__xludf.DUMMYFUNCTION("""COMPUTED_VALUE"""),"×欠場")</f>
        <v>×欠場</v>
      </c>
      <c r="G21" s="5" t="str">
        <f>IFERROR(__xludf.DUMMYFUNCTION("""COMPUTED_VALUE"""),"×欠場")</f>
        <v>×欠場</v>
      </c>
      <c r="H21" s="5"/>
      <c r="I21" s="5" t="str">
        <f>IFERROR(__xludf.DUMMYFUNCTION("""COMPUTED_VALUE"""),"×参加しない")</f>
        <v>×参加しない</v>
      </c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>
        <f>IFERROR(__xludf.DUMMYFUNCTION("""COMPUTED_VALUE"""),350409.0)</f>
        <v>350409</v>
      </c>
      <c r="B22" s="5" t="str">
        <f>IFERROR(__xludf.DUMMYFUNCTION("""COMPUTED_VALUE"""),"黒澤香穂")</f>
        <v>黒澤香穂</v>
      </c>
      <c r="C22" s="5" t="str">
        <f>IFERROR(__xludf.DUMMYFUNCTION("""COMPUTED_VALUE"""),"くろさわかほ")</f>
        <v>くろさわかほ</v>
      </c>
      <c r="D22" s="5">
        <f>IFERROR(__xludf.DUMMYFUNCTION("""COMPUTED_VALUE"""),1.0)</f>
        <v>1</v>
      </c>
      <c r="E22" s="5" t="str">
        <f>IFERROR(__xludf.DUMMYFUNCTION("""COMPUTED_VALUE"""),"女")</f>
        <v>女</v>
      </c>
      <c r="F22" s="5" t="str">
        <f>IFERROR(__xludf.DUMMYFUNCTION("""COMPUTED_VALUE"""),"WUF")</f>
        <v>WUF</v>
      </c>
      <c r="G22" s="5" t="str">
        <f>IFERROR(__xludf.DUMMYFUNCTION("""COMPUTED_VALUE"""),"○出場")</f>
        <v>○出場</v>
      </c>
      <c r="H22" s="5">
        <f>IFERROR(__xludf.DUMMYFUNCTION("""COMPUTED_VALUE"""),525155.0)</f>
        <v>525155</v>
      </c>
      <c r="I22" s="5" t="str">
        <f>IFERROR(__xludf.DUMMYFUNCTION("""COMPUTED_VALUE"""),"○参加する")</f>
        <v>○参加する</v>
      </c>
      <c r="J22" s="5"/>
      <c r="K22" s="12">
        <f t="shared" si="2"/>
        <v>1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>
        <f>IFERROR(__xludf.DUMMYFUNCTION("""COMPUTED_VALUE"""),350410.0)</f>
        <v>350410</v>
      </c>
      <c r="B23" s="5" t="str">
        <f>IFERROR(__xludf.DUMMYFUNCTION("""COMPUTED_VALUE"""),"中村圭吾")</f>
        <v>中村圭吾</v>
      </c>
      <c r="C23" s="5" t="str">
        <f>IFERROR(__xludf.DUMMYFUNCTION("""COMPUTED_VALUE"""),"なかむらけいご")</f>
        <v>なかむらけいご</v>
      </c>
      <c r="D23" s="5">
        <f>IFERROR(__xludf.DUMMYFUNCTION("""COMPUTED_VALUE"""),1.0)</f>
        <v>1</v>
      </c>
      <c r="E23" s="5" t="str">
        <f>IFERROR(__xludf.DUMMYFUNCTION("""COMPUTED_VALUE"""),"男")</f>
        <v>男</v>
      </c>
      <c r="F23" s="5" t="str">
        <f>IFERROR(__xludf.DUMMYFUNCTION("""COMPUTED_VALUE"""),"×欠場")</f>
        <v>×欠場</v>
      </c>
      <c r="G23" s="5" t="str">
        <f>IFERROR(__xludf.DUMMYFUNCTION("""COMPUTED_VALUE"""),"×欠場")</f>
        <v>×欠場</v>
      </c>
      <c r="H23" s="5"/>
      <c r="I23" s="5" t="str">
        <f>IFERROR(__xludf.DUMMYFUNCTION("""COMPUTED_VALUE"""),"×参加しない")</f>
        <v>×参加しない</v>
      </c>
      <c r="J23" s="5"/>
      <c r="K23" s="12">
        <f t="shared" si="2"/>
        <v>0</v>
      </c>
      <c r="M23" s="2" t="str">
        <f>IFERROR(__xludf.DUMMYFUNCTION("FILTER('オフィシャル'!$B$2:$B$65,'オフィシャル'!$A$2:$A$65=A1)"),"伊藤良介")</f>
        <v>伊藤良介</v>
      </c>
      <c r="N23" s="4"/>
      <c r="O23" s="2" t="str">
        <f>IFERROR(__xludf.DUMMYFUNCTION("FILTER('オフィシャル'!$C$2:$C$65,'オフィシャル'!$A$2:$A$65=A1)"),"いとうりょうすけ")</f>
        <v>いとうりょうすけ</v>
      </c>
      <c r="P23" s="3"/>
      <c r="Q23" s="5" t="str">
        <f>IFERROR(__xludf.DUMMYFUNCTION("FILTER('オフィシャル'!$D$2:$D$65,'オフィシャル'!$A$2:$A$65=A1)"),"男")</f>
        <v>男</v>
      </c>
      <c r="R23" s="2" t="str">
        <f>IFERROR(__xludf.DUMMYFUNCTION("FILTER('オフィシャル'!$E$2:$E$65,'オフィシャル'!$A$2:$A$65=A1)"),"○する")</f>
        <v>○する</v>
      </c>
      <c r="S23" s="4"/>
      <c r="T23" s="14" t="str">
        <f>IFERROR(__xludf.DUMMYFUNCTION("FILTER('オフィシャル'!$F$2:$F$65,'オフィシャル'!$A$2:$A$65=A1)"),"")</f>
        <v/>
      </c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>
        <f>IFERROR(__xludf.DUMMYFUNCTION("""COMPUTED_VALUE"""),350411.0)</f>
        <v>350411</v>
      </c>
      <c r="B24" s="5" t="str">
        <f>IFERROR(__xludf.DUMMYFUNCTION("""COMPUTED_VALUE"""),"吉岡拓透")</f>
        <v>吉岡拓透</v>
      </c>
      <c r="C24" s="5" t="str">
        <f>IFERROR(__xludf.DUMMYFUNCTION("""COMPUTED_VALUE"""),"よしおかたくと")</f>
        <v>よしおかたくと</v>
      </c>
      <c r="D24" s="5">
        <f>IFERROR(__xludf.DUMMYFUNCTION("""COMPUTED_VALUE"""),1.0)</f>
        <v>1</v>
      </c>
      <c r="E24" s="5" t="str">
        <f>IFERROR(__xludf.DUMMYFUNCTION("""COMPUTED_VALUE"""),"男")</f>
        <v>男</v>
      </c>
      <c r="F24" s="5" t="str">
        <f>IFERROR(__xludf.DUMMYFUNCTION("""COMPUTED_VALUE"""),"×欠場")</f>
        <v>×欠場</v>
      </c>
      <c r="G24" s="5" t="str">
        <f>IFERROR(__xludf.DUMMYFUNCTION("""COMPUTED_VALUE"""),"×欠場")</f>
        <v>×欠場</v>
      </c>
      <c r="H24" s="5"/>
      <c r="I24" s="5" t="str">
        <f>IFERROR(__xludf.DUMMYFUNCTION("""COMPUTED_VALUE"""),"×参加しない")</f>
        <v>×参加しない</v>
      </c>
      <c r="J24" s="5"/>
      <c r="K24" s="12">
        <f t="shared" si="2"/>
        <v>0</v>
      </c>
      <c r="M24" s="2" t="str">
        <f>IFERROR(__xludf.DUMMYFUNCTION("""COMPUTED_VALUE"""),"重岡さとみ")</f>
        <v>重岡さとみ</v>
      </c>
      <c r="N24" s="4"/>
      <c r="O24" s="2" t="str">
        <f>IFERROR(__xludf.DUMMYFUNCTION("""COMPUTED_VALUE"""),"しげおかさとみ")</f>
        <v>しげおかさとみ</v>
      </c>
      <c r="P24" s="3"/>
      <c r="Q24" s="5" t="str">
        <f>IFERROR(__xludf.DUMMYFUNCTION("""COMPUTED_VALUE"""),"女")</f>
        <v>女</v>
      </c>
      <c r="R24" s="2" t="str">
        <f>IFERROR(__xludf.DUMMYFUNCTION("""COMPUTED_VALUE"""),"○する")</f>
        <v>○する</v>
      </c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>
        <f>IFERROR(__xludf.DUMMYFUNCTION("""COMPUTED_VALUE"""),350412.0)</f>
        <v>350412</v>
      </c>
      <c r="B25" s="5" t="str">
        <f>IFERROR(__xludf.DUMMYFUNCTION("""COMPUTED_VALUE"""),"井上はるき")</f>
        <v>井上はるき</v>
      </c>
      <c r="C25" s="5" t="str">
        <f>IFERROR(__xludf.DUMMYFUNCTION("""COMPUTED_VALUE"""),"いのうえはるき")</f>
        <v>いのうえはるき</v>
      </c>
      <c r="D25" s="5">
        <f>IFERROR(__xludf.DUMMYFUNCTION("""COMPUTED_VALUE"""),1.0)</f>
        <v>1</v>
      </c>
      <c r="E25" s="5" t="str">
        <f>IFERROR(__xludf.DUMMYFUNCTION("""COMPUTED_VALUE"""),"女")</f>
        <v>女</v>
      </c>
      <c r="F25" s="5" t="str">
        <f>IFERROR(__xludf.DUMMYFUNCTION("""COMPUTED_VALUE"""),"WUF")</f>
        <v>WUF</v>
      </c>
      <c r="G25" s="5" t="str">
        <f>IFERROR(__xludf.DUMMYFUNCTION("""COMPUTED_VALUE"""),"○出場")</f>
        <v>○出場</v>
      </c>
      <c r="H25" s="5">
        <f>IFERROR(__xludf.DUMMYFUNCTION("""COMPUTED_VALUE"""),525172.0)</f>
        <v>525172</v>
      </c>
      <c r="I25" s="5" t="str">
        <f>IFERROR(__xludf.DUMMYFUNCTION("""COMPUTED_VALUE"""),"○参加する")</f>
        <v>○参加する</v>
      </c>
      <c r="J25" s="5"/>
      <c r="K25" s="12">
        <f t="shared" si="2"/>
        <v>1</v>
      </c>
      <c r="M25" s="2" t="str">
        <f>IFERROR(__xludf.DUMMYFUNCTION("""COMPUTED_VALUE"""),"二俣真")</f>
        <v>二俣真</v>
      </c>
      <c r="N25" s="4"/>
      <c r="O25" s="2" t="str">
        <f>IFERROR(__xludf.DUMMYFUNCTION("""COMPUTED_VALUE"""),"ふたまたしん")</f>
        <v>ふたまたしん</v>
      </c>
      <c r="P25" s="3"/>
      <c r="Q25" s="19" t="str">
        <f>IFERROR(__xludf.DUMMYFUNCTION("""COMPUTED_VALUE"""),"男")</f>
        <v>男</v>
      </c>
      <c r="R25" s="2" t="str">
        <f>IFERROR(__xludf.DUMMYFUNCTION("""COMPUTED_VALUE"""),"○する")</f>
        <v>○する</v>
      </c>
      <c r="S25" s="4"/>
      <c r="T25" s="20"/>
      <c r="U25" s="15"/>
    </row>
    <row r="26" ht="19.5" customHeight="1">
      <c r="A26" s="5">
        <f>IFERROR(__xludf.DUMMYFUNCTION("""COMPUTED_VALUE"""),350413.0)</f>
        <v>350413</v>
      </c>
      <c r="B26" s="5" t="str">
        <f>IFERROR(__xludf.DUMMYFUNCTION("""COMPUTED_VALUE"""),"脇田七澄")</f>
        <v>脇田七澄</v>
      </c>
      <c r="C26" s="5" t="str">
        <f>IFERROR(__xludf.DUMMYFUNCTION("""COMPUTED_VALUE"""),"わきたななと")</f>
        <v>わきたななと</v>
      </c>
      <c r="D26" s="5">
        <f>IFERROR(__xludf.DUMMYFUNCTION("""COMPUTED_VALUE"""),1.0)</f>
        <v>1</v>
      </c>
      <c r="E26" s="5" t="str">
        <f>IFERROR(__xludf.DUMMYFUNCTION("""COMPUTED_VALUE"""),"男")</f>
        <v>男</v>
      </c>
      <c r="F26" s="5" t="str">
        <f>IFERROR(__xludf.DUMMYFUNCTION("""COMPUTED_VALUE"""),"×欠場")</f>
        <v>×欠場</v>
      </c>
      <c r="G26" s="5" t="str">
        <f>IFERROR(__xludf.DUMMYFUNCTION("""COMPUTED_VALUE"""),"×欠場")</f>
        <v>×欠場</v>
      </c>
      <c r="H26" s="5"/>
      <c r="I26" s="5" t="str">
        <f>IFERROR(__xludf.DUMMYFUNCTION("""COMPUTED_VALUE"""),"○参加する")</f>
        <v>○参加する</v>
      </c>
      <c r="J26" s="5"/>
      <c r="K26" s="12">
        <f t="shared" si="2"/>
        <v>0</v>
      </c>
      <c r="M26" s="2" t="str">
        <f>IFERROR(__xludf.DUMMYFUNCTION("""COMPUTED_VALUE"""),"平岡丈")</f>
        <v>平岡丈</v>
      </c>
      <c r="N26" s="4"/>
      <c r="O26" s="2" t="str">
        <f>IFERROR(__xludf.DUMMYFUNCTION("""COMPUTED_VALUE"""),"ひらおかじょう")</f>
        <v>ひらおかじょう</v>
      </c>
      <c r="P26" s="3"/>
      <c r="Q26" s="19" t="str">
        <f>IFERROR(__xludf.DUMMYFUNCTION("""COMPUTED_VALUE"""),"男")</f>
        <v>男</v>
      </c>
      <c r="R26" s="2" t="str">
        <f>IFERROR(__xludf.DUMMYFUNCTION("""COMPUTED_VALUE"""),"○する")</f>
        <v>○する</v>
      </c>
      <c r="S26" s="4"/>
      <c r="T26" s="20"/>
      <c r="U26" s="15"/>
    </row>
    <row r="27" ht="19.5" customHeight="1">
      <c r="A27" s="5">
        <f>IFERROR(__xludf.DUMMYFUNCTION("""COMPUTED_VALUE"""),350414.0)</f>
        <v>350414</v>
      </c>
      <c r="B27" s="5" t="str">
        <f>IFERROR(__xludf.DUMMYFUNCTION("""COMPUTED_VALUE"""),"白坂怜也")</f>
        <v>白坂怜也</v>
      </c>
      <c r="C27" s="5" t="str">
        <f>IFERROR(__xludf.DUMMYFUNCTION("""COMPUTED_VALUE"""),"しらさかれいや")</f>
        <v>しらさかれいや</v>
      </c>
      <c r="D27" s="5">
        <f>IFERROR(__xludf.DUMMYFUNCTION("""COMPUTED_VALUE"""),1.0)</f>
        <v>1</v>
      </c>
      <c r="E27" s="5" t="str">
        <f>IFERROR(__xludf.DUMMYFUNCTION("""COMPUTED_VALUE"""),"男")</f>
        <v>男</v>
      </c>
      <c r="F27" s="5" t="str">
        <f>IFERROR(__xludf.DUMMYFUNCTION("""COMPUTED_VALUE"""),"MUF")</f>
        <v>MUF</v>
      </c>
      <c r="G27" s="5" t="str">
        <f>IFERROR(__xludf.DUMMYFUNCTION("""COMPUTED_VALUE"""),"○出場")</f>
        <v>○出場</v>
      </c>
      <c r="H27" s="5"/>
      <c r="I27" s="5" t="str">
        <f>IFERROR(__xludf.DUMMYFUNCTION("""COMPUTED_VALUE"""),"○参加する")</f>
        <v>○参加する</v>
      </c>
      <c r="J27" s="5"/>
      <c r="K27" s="12">
        <f t="shared" si="2"/>
        <v>1</v>
      </c>
    </row>
    <row r="28" ht="19.5" customHeight="1">
      <c r="A28" s="5">
        <f>IFERROR(__xludf.DUMMYFUNCTION("""COMPUTED_VALUE"""),350415.0)</f>
        <v>350415</v>
      </c>
      <c r="B28" s="5" t="str">
        <f>IFERROR(__xludf.DUMMYFUNCTION("""COMPUTED_VALUE"""),"田京空")</f>
        <v>田京空</v>
      </c>
      <c r="C28" s="5" t="str">
        <f>IFERROR(__xludf.DUMMYFUNCTION("""COMPUTED_VALUE"""),"たきょうそら")</f>
        <v>たきょうそら</v>
      </c>
      <c r="D28" s="5">
        <f>IFERROR(__xludf.DUMMYFUNCTION("""COMPUTED_VALUE"""),1.0)</f>
        <v>1</v>
      </c>
      <c r="E28" s="5" t="str">
        <f>IFERROR(__xludf.DUMMYFUNCTION("""COMPUTED_VALUE"""),"男")</f>
        <v>男</v>
      </c>
      <c r="F28" s="5" t="str">
        <f>IFERROR(__xludf.DUMMYFUNCTION("""COMPUTED_VALUE"""),"×欠場")</f>
        <v>×欠場</v>
      </c>
      <c r="G28" s="5" t="str">
        <f>IFERROR(__xludf.DUMMYFUNCTION("""COMPUTED_VALUE"""),"×欠場")</f>
        <v>×欠場</v>
      </c>
      <c r="H28" s="5"/>
      <c r="I28" s="5" t="str">
        <f>IFERROR(__xludf.DUMMYFUNCTION("""COMPUTED_VALUE"""),"×参加しない")</f>
        <v>×参加しない</v>
      </c>
      <c r="J28" s="5"/>
      <c r="K28" s="12">
        <f t="shared" si="2"/>
        <v>0</v>
      </c>
    </row>
    <row r="29" ht="19.5" customHeight="1">
      <c r="A29" s="5">
        <f>IFERROR(__xludf.DUMMYFUNCTION("""COMPUTED_VALUE"""),350416.0)</f>
        <v>350416</v>
      </c>
      <c r="B29" s="5" t="str">
        <f>IFERROR(__xludf.DUMMYFUNCTION("""COMPUTED_VALUE"""),"Trompeta Seth Marchen")</f>
        <v>Trompeta Seth Marchen</v>
      </c>
      <c r="C29" s="5" t="str">
        <f>IFERROR(__xludf.DUMMYFUNCTION("""COMPUTED_VALUE"""),"トロンペタ　セス　マーチェン")</f>
        <v>トロンペタ　セス　マーチェン</v>
      </c>
      <c r="D29" s="5">
        <f>IFERROR(__xludf.DUMMYFUNCTION("""COMPUTED_VALUE"""),1.0)</f>
        <v>1</v>
      </c>
      <c r="E29" s="5" t="str">
        <f>IFERROR(__xludf.DUMMYFUNCTION("""COMPUTED_VALUE"""),"男")</f>
        <v>男</v>
      </c>
      <c r="F29" s="5" t="str">
        <f>IFERROR(__xludf.DUMMYFUNCTION("""COMPUTED_VALUE"""),"×欠場")</f>
        <v>×欠場</v>
      </c>
      <c r="G29" s="5" t="str">
        <f>IFERROR(__xludf.DUMMYFUNCTION("""COMPUTED_VALUE"""),"×欠場")</f>
        <v>×欠場</v>
      </c>
      <c r="H29" s="5"/>
      <c r="I29" s="5" t="str">
        <f>IFERROR(__xludf.DUMMYFUNCTION("""COMPUTED_VALUE"""),"×参加しない")</f>
        <v>×参加しない</v>
      </c>
      <c r="J29" s="5"/>
      <c r="K29" s="12">
        <f t="shared" si="2"/>
        <v>0</v>
      </c>
    </row>
    <row r="30" ht="19.5" customHeight="1">
      <c r="A30" s="5">
        <f>IFERROR(__xludf.DUMMYFUNCTION("""COMPUTED_VALUE"""),350417.0)</f>
        <v>350417</v>
      </c>
      <c r="B30" s="5" t="str">
        <f>IFERROR(__xludf.DUMMYFUNCTION("""COMPUTED_VALUE"""),"橘一希")</f>
        <v>橘一希</v>
      </c>
      <c r="C30" s="5" t="str">
        <f>IFERROR(__xludf.DUMMYFUNCTION("""COMPUTED_VALUE"""),"たちばないっき")</f>
        <v>たちばないっき</v>
      </c>
      <c r="D30" s="5">
        <f>IFERROR(__xludf.DUMMYFUNCTION("""COMPUTED_VALUE"""),1.0)</f>
        <v>1</v>
      </c>
      <c r="E30" s="5" t="str">
        <f>IFERROR(__xludf.DUMMYFUNCTION("""COMPUTED_VALUE"""),"男")</f>
        <v>男</v>
      </c>
      <c r="F30" s="5" t="str">
        <f>IFERROR(__xludf.DUMMYFUNCTION("""COMPUTED_VALUE"""),"×欠場")</f>
        <v>×欠場</v>
      </c>
      <c r="G30" s="5" t="str">
        <f>IFERROR(__xludf.DUMMYFUNCTION("""COMPUTED_VALUE"""),"×欠場")</f>
        <v>×欠場</v>
      </c>
      <c r="H30" s="5"/>
      <c r="I30" s="5" t="str">
        <f>IFERROR(__xludf.DUMMYFUNCTION("""COMPUTED_VALUE"""),"×参加しない")</f>
        <v>×参加しない</v>
      </c>
      <c r="J30" s="5"/>
      <c r="K30" s="12">
        <f t="shared" si="2"/>
        <v>0</v>
      </c>
    </row>
    <row r="31" ht="19.5" customHeight="1">
      <c r="A31" s="5">
        <f>IFERROR(__xludf.DUMMYFUNCTION("""COMPUTED_VALUE"""),350418.0)</f>
        <v>350418</v>
      </c>
      <c r="B31" s="5" t="str">
        <f>IFERROR(__xludf.DUMMYFUNCTION("""COMPUTED_VALUE"""),"牧原陽一")</f>
        <v>牧原陽一</v>
      </c>
      <c r="C31" s="5" t="str">
        <f>IFERROR(__xludf.DUMMYFUNCTION("""COMPUTED_VALUE"""),"まきはらよういち")</f>
        <v>まきはらよういち</v>
      </c>
      <c r="D31" s="5">
        <f>IFERROR(__xludf.DUMMYFUNCTION("""COMPUTED_VALUE"""),1.0)</f>
        <v>1</v>
      </c>
      <c r="E31" s="5" t="str">
        <f>IFERROR(__xludf.DUMMYFUNCTION("""COMPUTED_VALUE"""),"男")</f>
        <v>男</v>
      </c>
      <c r="F31" s="5" t="str">
        <f>IFERROR(__xludf.DUMMYFUNCTION("""COMPUTED_VALUE"""),"×欠場")</f>
        <v>×欠場</v>
      </c>
      <c r="G31" s="5" t="str">
        <f>IFERROR(__xludf.DUMMYFUNCTION("""COMPUTED_VALUE"""),"×欠場")</f>
        <v>×欠場</v>
      </c>
      <c r="H31" s="5"/>
      <c r="I31" s="5" t="str">
        <f>IFERROR(__xludf.DUMMYFUNCTION("""COMPUTED_VALUE"""),"×参加しない")</f>
        <v>×参加しない</v>
      </c>
      <c r="J31" s="5"/>
      <c r="K31" s="12">
        <f t="shared" si="2"/>
        <v>0</v>
      </c>
    </row>
    <row r="32" ht="19.5" customHeight="1">
      <c r="A32" s="5">
        <f>IFERROR(__xludf.DUMMYFUNCTION("""COMPUTED_VALUE"""),350419.0)</f>
        <v>350419</v>
      </c>
      <c r="B32" s="5" t="str">
        <f>IFERROR(__xludf.DUMMYFUNCTION("""COMPUTED_VALUE"""),"田中周良")</f>
        <v>田中周良</v>
      </c>
      <c r="C32" s="5" t="str">
        <f>IFERROR(__xludf.DUMMYFUNCTION("""COMPUTED_VALUE"""),"たなかちから")</f>
        <v>たなかちから</v>
      </c>
      <c r="D32" s="5">
        <f>IFERROR(__xludf.DUMMYFUNCTION("""COMPUTED_VALUE"""),1.0)</f>
        <v>1</v>
      </c>
      <c r="E32" s="5" t="str">
        <f>IFERROR(__xludf.DUMMYFUNCTION("""COMPUTED_VALUE"""),"男")</f>
        <v>男</v>
      </c>
      <c r="F32" s="5" t="str">
        <f>IFERROR(__xludf.DUMMYFUNCTION("""COMPUTED_VALUE"""),"MUF")</f>
        <v>MUF</v>
      </c>
      <c r="G32" s="5" t="str">
        <f>IFERROR(__xludf.DUMMYFUNCTION("""COMPUTED_VALUE"""),"○出場")</f>
        <v>○出場</v>
      </c>
      <c r="H32" s="5">
        <f>IFERROR(__xludf.DUMMYFUNCTION("""COMPUTED_VALUE"""),525174.0)</f>
        <v>525174</v>
      </c>
      <c r="I32" s="5" t="str">
        <f>IFERROR(__xludf.DUMMYFUNCTION("""COMPUTED_VALUE"""),"○参加する")</f>
        <v>○参加する</v>
      </c>
      <c r="J32" s="5"/>
      <c r="K32" s="12">
        <f t="shared" si="2"/>
        <v>1</v>
      </c>
    </row>
    <row r="33" ht="19.5" customHeight="1">
      <c r="A33" s="5">
        <f>IFERROR(__xludf.DUMMYFUNCTION("""COMPUTED_VALUE"""),350420.0)</f>
        <v>350420</v>
      </c>
      <c r="B33" s="5" t="str">
        <f>IFERROR(__xludf.DUMMYFUNCTION("""COMPUTED_VALUE"""),"杉田瑠菜")</f>
        <v>杉田瑠菜</v>
      </c>
      <c r="C33" s="5" t="str">
        <f>IFERROR(__xludf.DUMMYFUNCTION("""COMPUTED_VALUE"""),"すぎたるな")</f>
        <v>すぎたるな</v>
      </c>
      <c r="D33" s="5">
        <f>IFERROR(__xludf.DUMMYFUNCTION("""COMPUTED_VALUE"""),1.0)</f>
        <v>1</v>
      </c>
      <c r="E33" s="5" t="str">
        <f>IFERROR(__xludf.DUMMYFUNCTION("""COMPUTED_VALUE"""),"女")</f>
        <v>女</v>
      </c>
      <c r="F33" s="5" t="str">
        <f>IFERROR(__xludf.DUMMYFUNCTION("""COMPUTED_VALUE"""),"WUF")</f>
        <v>WUF</v>
      </c>
      <c r="G33" s="5" t="str">
        <f>IFERROR(__xludf.DUMMYFUNCTION("""COMPUTED_VALUE"""),"○出場")</f>
        <v>○出場</v>
      </c>
      <c r="H33" s="5">
        <f>IFERROR(__xludf.DUMMYFUNCTION("""COMPUTED_VALUE"""),525162.0)</f>
        <v>525162</v>
      </c>
      <c r="I33" s="5" t="str">
        <f>IFERROR(__xludf.DUMMYFUNCTION("""COMPUTED_VALUE"""),"○参加する")</f>
        <v>○参加する</v>
      </c>
      <c r="J33" s="5"/>
      <c r="K33" s="12">
        <f t="shared" si="2"/>
        <v>1</v>
      </c>
    </row>
    <row r="34" ht="19.5" customHeight="1">
      <c r="A34" s="5">
        <f>IFERROR(__xludf.DUMMYFUNCTION("""COMPUTED_VALUE"""),350421.0)</f>
        <v>350421</v>
      </c>
      <c r="B34" s="5" t="str">
        <f>IFERROR(__xludf.DUMMYFUNCTION("""COMPUTED_VALUE"""),"長原杏奈")</f>
        <v>長原杏奈</v>
      </c>
      <c r="C34" s="5" t="str">
        <f>IFERROR(__xludf.DUMMYFUNCTION("""COMPUTED_VALUE"""),"ながはらあんな")</f>
        <v>ながはらあんな</v>
      </c>
      <c r="D34" s="5">
        <f>IFERROR(__xludf.DUMMYFUNCTION("""COMPUTED_VALUE"""),1.0)</f>
        <v>1</v>
      </c>
      <c r="E34" s="5" t="str">
        <f>IFERROR(__xludf.DUMMYFUNCTION("""COMPUTED_VALUE"""),"女")</f>
        <v>女</v>
      </c>
      <c r="F34" s="5" t="str">
        <f>IFERROR(__xludf.DUMMYFUNCTION("""COMPUTED_VALUE"""),"×欠場")</f>
        <v>×欠場</v>
      </c>
      <c r="G34" s="5" t="str">
        <f>IFERROR(__xludf.DUMMYFUNCTION("""COMPUTED_VALUE"""),"×欠場")</f>
        <v>×欠場</v>
      </c>
      <c r="H34" s="5"/>
      <c r="I34" s="5" t="str">
        <f>IFERROR(__xludf.DUMMYFUNCTION("""COMPUTED_VALUE"""),"×参加しない")</f>
        <v>×参加しない</v>
      </c>
      <c r="J34" s="5"/>
      <c r="K34" s="12">
        <f t="shared" si="2"/>
        <v>0</v>
      </c>
    </row>
    <row r="35" ht="19.5" customHeight="1">
      <c r="A35" s="5">
        <f>IFERROR(__xludf.DUMMYFUNCTION("""COMPUTED_VALUE"""),350422.0)</f>
        <v>350422</v>
      </c>
      <c r="B35" s="5" t="str">
        <f>IFERROR(__xludf.DUMMYFUNCTION("""COMPUTED_VALUE"""),"鬼頭学史")</f>
        <v>鬼頭学史</v>
      </c>
      <c r="C35" s="5" t="str">
        <f>IFERROR(__xludf.DUMMYFUNCTION("""COMPUTED_VALUE"""),"きとうがくし")</f>
        <v>きとうがくし</v>
      </c>
      <c r="D35" s="5">
        <f>IFERROR(__xludf.DUMMYFUNCTION("""COMPUTED_VALUE"""),1.0)</f>
        <v>1</v>
      </c>
      <c r="E35" s="5" t="str">
        <f>IFERROR(__xludf.DUMMYFUNCTION("""COMPUTED_VALUE"""),"男")</f>
        <v>男</v>
      </c>
      <c r="F35" s="5" t="str">
        <f>IFERROR(__xludf.DUMMYFUNCTION("""COMPUTED_VALUE"""),"×欠場")</f>
        <v>×欠場</v>
      </c>
      <c r="G35" s="5" t="str">
        <f>IFERROR(__xludf.DUMMYFUNCTION("""COMPUTED_VALUE"""),"×欠場")</f>
        <v>×欠場</v>
      </c>
      <c r="H35" s="5"/>
      <c r="I35" s="5" t="str">
        <f>IFERROR(__xludf.DUMMYFUNCTION("""COMPUTED_VALUE"""),"×参加しない")</f>
        <v>×参加しない</v>
      </c>
      <c r="J35" s="5"/>
      <c r="K35" s="12">
        <f t="shared" si="2"/>
        <v>0</v>
      </c>
    </row>
    <row r="36" ht="19.5" customHeight="1">
      <c r="A36" s="5">
        <f>IFERROR(__xludf.DUMMYFUNCTION("""COMPUTED_VALUE"""),350423.0)</f>
        <v>350423</v>
      </c>
      <c r="B36" s="5" t="str">
        <f>IFERROR(__xludf.DUMMYFUNCTION("""COMPUTED_VALUE"""),"重田弥音")</f>
        <v>重田弥音</v>
      </c>
      <c r="C36" s="5" t="str">
        <f>IFERROR(__xludf.DUMMYFUNCTION("""COMPUTED_VALUE"""),"しげたあまね")</f>
        <v>しげたあまね</v>
      </c>
      <c r="D36" s="5">
        <f>IFERROR(__xludf.DUMMYFUNCTION("""COMPUTED_VALUE"""),1.0)</f>
        <v>1</v>
      </c>
      <c r="E36" s="5" t="str">
        <f>IFERROR(__xludf.DUMMYFUNCTION("""COMPUTED_VALUE"""),"女")</f>
        <v>女</v>
      </c>
      <c r="F36" s="5" t="str">
        <f>IFERROR(__xludf.DUMMYFUNCTION("""COMPUTED_VALUE"""),"×欠場")</f>
        <v>×欠場</v>
      </c>
      <c r="G36" s="5" t="str">
        <f>IFERROR(__xludf.DUMMYFUNCTION("""COMPUTED_VALUE"""),"×欠場")</f>
        <v>×欠場</v>
      </c>
      <c r="H36" s="5"/>
      <c r="I36" s="5" t="str">
        <f>IFERROR(__xludf.DUMMYFUNCTION("""COMPUTED_VALUE"""),"×参加しない")</f>
        <v>×参加しない</v>
      </c>
      <c r="J36" s="5"/>
      <c r="K36" s="12">
        <f t="shared" si="2"/>
        <v>0</v>
      </c>
    </row>
    <row r="37" ht="19.5" customHeight="1">
      <c r="A37" s="5">
        <f>IFERROR(__xludf.DUMMYFUNCTION("""COMPUTED_VALUE"""),350424.0)</f>
        <v>350424</v>
      </c>
      <c r="B37" s="5" t="str">
        <f>IFERROR(__xludf.DUMMYFUNCTION("""COMPUTED_VALUE"""),"柿本源心")</f>
        <v>柿本源心</v>
      </c>
      <c r="C37" s="5" t="str">
        <f>IFERROR(__xludf.DUMMYFUNCTION("""COMPUTED_VALUE"""),"かきもとげんしん")</f>
        <v>かきもとげんしん</v>
      </c>
      <c r="D37" s="5">
        <f>IFERROR(__xludf.DUMMYFUNCTION("""COMPUTED_VALUE"""),1.0)</f>
        <v>1</v>
      </c>
      <c r="E37" s="5" t="str">
        <f>IFERROR(__xludf.DUMMYFUNCTION("""COMPUTED_VALUE"""),"男")</f>
        <v>男</v>
      </c>
      <c r="F37" s="5" t="str">
        <f>IFERROR(__xludf.DUMMYFUNCTION("""COMPUTED_VALUE"""),"MUF")</f>
        <v>MUF</v>
      </c>
      <c r="G37" s="5" t="str">
        <f>IFERROR(__xludf.DUMMYFUNCTION("""COMPUTED_VALUE"""),"○出場")</f>
        <v>○出場</v>
      </c>
      <c r="H37" s="5"/>
      <c r="I37" s="5" t="str">
        <f>IFERROR(__xludf.DUMMYFUNCTION("""COMPUTED_VALUE"""),"○参加する")</f>
        <v>○参加する</v>
      </c>
      <c r="J37" s="5"/>
      <c r="K37" s="12">
        <f t="shared" si="2"/>
        <v>1</v>
      </c>
    </row>
    <row r="38" ht="19.5" customHeight="1">
      <c r="A38" s="5">
        <f>IFERROR(__xludf.DUMMYFUNCTION("""COMPUTED_VALUE"""),350425.0)</f>
        <v>350425</v>
      </c>
      <c r="B38" s="5" t="str">
        <f>IFERROR(__xludf.DUMMYFUNCTION("""COMPUTED_VALUE"""),"八木彩名")</f>
        <v>八木彩名</v>
      </c>
      <c r="C38" s="5" t="str">
        <f>IFERROR(__xludf.DUMMYFUNCTION("""COMPUTED_VALUE"""),"やぎあやな")</f>
        <v>やぎあやな</v>
      </c>
      <c r="D38" s="5">
        <f>IFERROR(__xludf.DUMMYFUNCTION("""COMPUTED_VALUE"""),1.0)</f>
        <v>1</v>
      </c>
      <c r="E38" s="5" t="str">
        <f>IFERROR(__xludf.DUMMYFUNCTION("""COMPUTED_VALUE"""),"女")</f>
        <v>女</v>
      </c>
      <c r="F38" s="5" t="str">
        <f>IFERROR(__xludf.DUMMYFUNCTION("""COMPUTED_VALUE"""),"×欠場")</f>
        <v>×欠場</v>
      </c>
      <c r="G38" s="5" t="str">
        <f>IFERROR(__xludf.DUMMYFUNCTION("""COMPUTED_VALUE"""),"×欠場")</f>
        <v>×欠場</v>
      </c>
      <c r="H38" s="5"/>
      <c r="I38" s="5" t="str">
        <f>IFERROR(__xludf.DUMMYFUNCTION("""COMPUTED_VALUE"""),"×参加しない")</f>
        <v>×参加しない</v>
      </c>
      <c r="J38" s="5"/>
      <c r="K38" s="12">
        <f t="shared" si="2"/>
        <v>0</v>
      </c>
    </row>
    <row r="39" ht="19.5" customHeight="1">
      <c r="A39" s="5">
        <f>IFERROR(__xludf.DUMMYFUNCTION("""COMPUTED_VALUE"""),350426.0)</f>
        <v>350426</v>
      </c>
      <c r="B39" s="5" t="str">
        <f>IFERROR(__xludf.DUMMYFUNCTION("""COMPUTED_VALUE"""),"堀江花歩")</f>
        <v>堀江花歩</v>
      </c>
      <c r="C39" s="5" t="str">
        <f>IFERROR(__xludf.DUMMYFUNCTION("""COMPUTED_VALUE"""),"ほりえかほ")</f>
        <v>ほりえかほ</v>
      </c>
      <c r="D39" s="5">
        <f>IFERROR(__xludf.DUMMYFUNCTION("""COMPUTED_VALUE"""),1.0)</f>
        <v>1</v>
      </c>
      <c r="E39" s="5" t="str">
        <f>IFERROR(__xludf.DUMMYFUNCTION("""COMPUTED_VALUE"""),"女")</f>
        <v>女</v>
      </c>
      <c r="F39" s="5" t="str">
        <f>IFERROR(__xludf.DUMMYFUNCTION("""COMPUTED_VALUE"""),"WUF")</f>
        <v>WUF</v>
      </c>
      <c r="G39" s="5" t="str">
        <f>IFERROR(__xludf.DUMMYFUNCTION("""COMPUTED_VALUE"""),"○出場")</f>
        <v>○出場</v>
      </c>
      <c r="H39" s="5">
        <f>IFERROR(__xludf.DUMMYFUNCTION("""COMPUTED_VALUE"""),525152.0)</f>
        <v>525152</v>
      </c>
      <c r="I39" s="5" t="str">
        <f>IFERROR(__xludf.DUMMYFUNCTION("""COMPUTED_VALUE"""),"○参加する")</f>
        <v>○参加する</v>
      </c>
      <c r="J39" s="5"/>
      <c r="K39" s="12">
        <f t="shared" si="2"/>
        <v>1</v>
      </c>
    </row>
    <row r="40" ht="19.5" customHeight="1">
      <c r="A40" s="5">
        <f>IFERROR(__xludf.DUMMYFUNCTION("""COMPUTED_VALUE"""),350427.0)</f>
        <v>350427</v>
      </c>
      <c r="B40" s="5" t="str">
        <f>IFERROR(__xludf.DUMMYFUNCTION("""COMPUTED_VALUE"""),"諸永終也")</f>
        <v>諸永終也</v>
      </c>
      <c r="C40" s="5" t="str">
        <f>IFERROR(__xludf.DUMMYFUNCTION("""COMPUTED_VALUE"""),"もろながしゅうや")</f>
        <v>もろながしゅうや</v>
      </c>
      <c r="D40" s="5">
        <f>IFERROR(__xludf.DUMMYFUNCTION("""COMPUTED_VALUE"""),1.0)</f>
        <v>1</v>
      </c>
      <c r="E40" s="5" t="str">
        <f>IFERROR(__xludf.DUMMYFUNCTION("""COMPUTED_VALUE"""),"男")</f>
        <v>男</v>
      </c>
      <c r="F40" s="5" t="str">
        <f>IFERROR(__xludf.DUMMYFUNCTION("""COMPUTED_VALUE"""),"×欠場")</f>
        <v>×欠場</v>
      </c>
      <c r="G40" s="5" t="str">
        <f>IFERROR(__xludf.DUMMYFUNCTION("""COMPUTED_VALUE"""),"×欠場")</f>
        <v>×欠場</v>
      </c>
      <c r="H40" s="5"/>
      <c r="I40" s="5" t="str">
        <f>IFERROR(__xludf.DUMMYFUNCTION("""COMPUTED_VALUE"""),"×参加しない")</f>
        <v>×参加しない</v>
      </c>
      <c r="J40" s="5"/>
      <c r="K40" s="12">
        <f t="shared" si="2"/>
        <v>0</v>
      </c>
    </row>
    <row r="41" ht="19.5" customHeight="1">
      <c r="A41" s="5">
        <f>IFERROR(__xludf.DUMMYFUNCTION("""COMPUTED_VALUE"""),350428.0)</f>
        <v>350428</v>
      </c>
      <c r="B41" s="5" t="str">
        <f>IFERROR(__xludf.DUMMYFUNCTION("""COMPUTED_VALUE"""),"藤井崇弘")</f>
        <v>藤井崇弘</v>
      </c>
      <c r="C41" s="5" t="str">
        <f>IFERROR(__xludf.DUMMYFUNCTION("""COMPUTED_VALUE"""),"ふじいたかひろ")</f>
        <v>ふじいたかひろ</v>
      </c>
      <c r="D41" s="5">
        <f>IFERROR(__xludf.DUMMYFUNCTION("""COMPUTED_VALUE"""),1.0)</f>
        <v>1</v>
      </c>
      <c r="E41" s="5" t="str">
        <f>IFERROR(__xludf.DUMMYFUNCTION("""COMPUTED_VALUE"""),"男")</f>
        <v>男</v>
      </c>
      <c r="F41" s="5" t="str">
        <f>IFERROR(__xludf.DUMMYFUNCTION("""COMPUTED_VALUE"""),"MUF")</f>
        <v>MUF</v>
      </c>
      <c r="G41" s="5" t="str">
        <f>IFERROR(__xludf.DUMMYFUNCTION("""COMPUTED_VALUE"""),"○出場")</f>
        <v>○出場</v>
      </c>
      <c r="H41" s="5"/>
      <c r="I41" s="5" t="str">
        <f>IFERROR(__xludf.DUMMYFUNCTION("""COMPUTED_VALUE"""),"○参加する")</f>
        <v>○参加する</v>
      </c>
      <c r="J41" s="5"/>
      <c r="K41" s="12">
        <f t="shared" si="2"/>
        <v>1</v>
      </c>
    </row>
    <row r="42" ht="19.5" customHeight="1">
      <c r="A42" s="5">
        <f>IFERROR(__xludf.DUMMYFUNCTION("""COMPUTED_VALUE"""),350429.0)</f>
        <v>350429</v>
      </c>
      <c r="B42" s="5" t="str">
        <f>IFERROR(__xludf.DUMMYFUNCTION("""COMPUTED_VALUE"""),"香山千空")</f>
        <v>香山千空</v>
      </c>
      <c r="C42" s="5" t="str">
        <f>IFERROR(__xludf.DUMMYFUNCTION("""COMPUTED_VALUE"""),"かやまちあき")</f>
        <v>かやまちあき</v>
      </c>
      <c r="D42" s="5">
        <f>IFERROR(__xludf.DUMMYFUNCTION("""COMPUTED_VALUE"""),1.0)</f>
        <v>1</v>
      </c>
      <c r="E42" s="5" t="str">
        <f>IFERROR(__xludf.DUMMYFUNCTION("""COMPUTED_VALUE"""),"男")</f>
        <v>男</v>
      </c>
      <c r="F42" s="5" t="str">
        <f>IFERROR(__xludf.DUMMYFUNCTION("""COMPUTED_VALUE"""),"×欠場")</f>
        <v>×欠場</v>
      </c>
      <c r="G42" s="5" t="str">
        <f>IFERROR(__xludf.DUMMYFUNCTION("""COMPUTED_VALUE"""),"×欠場")</f>
        <v>×欠場</v>
      </c>
      <c r="H42" s="5"/>
      <c r="I42" s="5" t="str">
        <f>IFERROR(__xludf.DUMMYFUNCTION("""COMPUTED_VALUE"""),"×参加しない")</f>
        <v>×参加しない</v>
      </c>
      <c r="J42" s="5"/>
      <c r="K42" s="12">
        <f t="shared" si="2"/>
        <v>0</v>
      </c>
    </row>
    <row r="43" ht="19.5" customHeight="1">
      <c r="A43" s="5">
        <f>IFERROR(__xludf.DUMMYFUNCTION("""COMPUTED_VALUE"""),350430.0)</f>
        <v>350430</v>
      </c>
      <c r="B43" s="5" t="str">
        <f>IFERROR(__xludf.DUMMYFUNCTION("""COMPUTED_VALUE"""),"佐藤駿")</f>
        <v>佐藤駿</v>
      </c>
      <c r="C43" s="5" t="str">
        <f>IFERROR(__xludf.DUMMYFUNCTION("""COMPUTED_VALUE"""),"さとうしゅん")</f>
        <v>さとうしゅん</v>
      </c>
      <c r="D43" s="5">
        <f>IFERROR(__xludf.DUMMYFUNCTION("""COMPUTED_VALUE"""),1.0)</f>
        <v>1</v>
      </c>
      <c r="E43" s="5" t="str">
        <f>IFERROR(__xludf.DUMMYFUNCTION("""COMPUTED_VALUE"""),"男")</f>
        <v>男</v>
      </c>
      <c r="F43" s="5" t="str">
        <f>IFERROR(__xludf.DUMMYFUNCTION("""COMPUTED_VALUE"""),"×欠場")</f>
        <v>×欠場</v>
      </c>
      <c r="G43" s="5" t="str">
        <f>IFERROR(__xludf.DUMMYFUNCTION("""COMPUTED_VALUE"""),"×欠場")</f>
        <v>×欠場</v>
      </c>
      <c r="H43" s="5"/>
      <c r="I43" s="5" t="str">
        <f>IFERROR(__xludf.DUMMYFUNCTION("""COMPUTED_VALUE"""),"×参加しない")</f>
        <v>×参加しない</v>
      </c>
      <c r="J43" s="5"/>
      <c r="K43" s="12">
        <f t="shared" si="2"/>
        <v>0</v>
      </c>
    </row>
    <row r="44" ht="19.5" customHeight="1">
      <c r="A44" s="5">
        <f>IFERROR(__xludf.DUMMYFUNCTION("""COMPUTED_VALUE"""),350431.0)</f>
        <v>350431</v>
      </c>
      <c r="B44" s="5" t="str">
        <f>IFERROR(__xludf.DUMMYFUNCTION("""COMPUTED_VALUE"""),"竹重雄翔")</f>
        <v>竹重雄翔</v>
      </c>
      <c r="C44" s="5" t="str">
        <f>IFERROR(__xludf.DUMMYFUNCTION("""COMPUTED_VALUE"""),"たけしげゆうと")</f>
        <v>たけしげゆうと</v>
      </c>
      <c r="D44" s="5">
        <f>IFERROR(__xludf.DUMMYFUNCTION("""COMPUTED_VALUE"""),1.0)</f>
        <v>1</v>
      </c>
      <c r="E44" s="5" t="str">
        <f>IFERROR(__xludf.DUMMYFUNCTION("""COMPUTED_VALUE"""),"男")</f>
        <v>男</v>
      </c>
      <c r="F44" s="5" t="str">
        <f>IFERROR(__xludf.DUMMYFUNCTION("""COMPUTED_VALUE"""),"×欠場")</f>
        <v>×欠場</v>
      </c>
      <c r="G44" s="5" t="str">
        <f>IFERROR(__xludf.DUMMYFUNCTION("""COMPUTED_VALUE"""),"×欠場")</f>
        <v>×欠場</v>
      </c>
      <c r="H44" s="5"/>
      <c r="I44" s="5" t="str">
        <f>IFERROR(__xludf.DUMMYFUNCTION("""COMPUTED_VALUE"""),"×参加しない")</f>
        <v>×参加しない</v>
      </c>
      <c r="J44" s="5"/>
      <c r="K44" s="12">
        <f t="shared" si="2"/>
        <v>0</v>
      </c>
    </row>
    <row r="45" ht="19.5" customHeight="1">
      <c r="A45" s="5">
        <f>IFERROR(__xludf.DUMMYFUNCTION("""COMPUTED_VALUE"""),350432.0)</f>
        <v>350432</v>
      </c>
      <c r="B45" s="5" t="str">
        <f>IFERROR(__xludf.DUMMYFUNCTION("""COMPUTED_VALUE"""),"竹林寛生")</f>
        <v>竹林寛生</v>
      </c>
      <c r="C45" s="5" t="str">
        <f>IFERROR(__xludf.DUMMYFUNCTION("""COMPUTED_VALUE"""),"たけばやしひろき")</f>
        <v>たけばやしひろき</v>
      </c>
      <c r="D45" s="5">
        <f>IFERROR(__xludf.DUMMYFUNCTION("""COMPUTED_VALUE"""),1.0)</f>
        <v>1</v>
      </c>
      <c r="E45" s="5" t="str">
        <f>IFERROR(__xludf.DUMMYFUNCTION("""COMPUTED_VALUE"""),"男")</f>
        <v>男</v>
      </c>
      <c r="F45" s="5" t="str">
        <f>IFERROR(__xludf.DUMMYFUNCTION("""COMPUTED_VALUE"""),"MUF")</f>
        <v>MUF</v>
      </c>
      <c r="G45" s="5" t="str">
        <f>IFERROR(__xludf.DUMMYFUNCTION("""COMPUTED_VALUE"""),"○出場")</f>
        <v>○出場</v>
      </c>
      <c r="H45" s="5">
        <f>IFERROR(__xludf.DUMMYFUNCTION("""COMPUTED_VALUE"""),525177.0)</f>
        <v>525177</v>
      </c>
      <c r="I45" s="5" t="str">
        <f>IFERROR(__xludf.DUMMYFUNCTION("""COMPUTED_VALUE"""),"○参加する")</f>
        <v>○参加する</v>
      </c>
      <c r="J45" s="5"/>
      <c r="K45" s="12">
        <f t="shared" si="2"/>
        <v>1</v>
      </c>
    </row>
    <row r="46" ht="19.5" customHeight="1">
      <c r="A46" s="5">
        <f>IFERROR(__xludf.DUMMYFUNCTION("""COMPUTED_VALUE"""),350433.0)</f>
        <v>350433</v>
      </c>
      <c r="B46" s="5" t="str">
        <f>IFERROR(__xludf.DUMMYFUNCTION("""COMPUTED_VALUE"""),"町田禎悟")</f>
        <v>町田禎悟</v>
      </c>
      <c r="C46" s="5" t="str">
        <f>IFERROR(__xludf.DUMMYFUNCTION("""COMPUTED_VALUE"""),"まちだていご")</f>
        <v>まちだていご</v>
      </c>
      <c r="D46" s="5">
        <f>IFERROR(__xludf.DUMMYFUNCTION("""COMPUTED_VALUE"""),1.0)</f>
        <v>1</v>
      </c>
      <c r="E46" s="5" t="str">
        <f>IFERROR(__xludf.DUMMYFUNCTION("""COMPUTED_VALUE"""),"男")</f>
        <v>男</v>
      </c>
      <c r="F46" s="5" t="str">
        <f>IFERROR(__xludf.DUMMYFUNCTION("""COMPUTED_VALUE"""),"MUF")</f>
        <v>MUF</v>
      </c>
      <c r="G46" s="5" t="str">
        <f>IFERROR(__xludf.DUMMYFUNCTION("""COMPUTED_VALUE"""),"○出場")</f>
        <v>○出場</v>
      </c>
      <c r="H46" s="5">
        <f>IFERROR(__xludf.DUMMYFUNCTION("""COMPUTED_VALUE"""),525151.0)</f>
        <v>525151</v>
      </c>
      <c r="I46" s="5" t="str">
        <f>IFERROR(__xludf.DUMMYFUNCTION("""COMPUTED_VALUE"""),"○参加する")</f>
        <v>○参加する</v>
      </c>
      <c r="J46" s="5"/>
      <c r="K46" s="12">
        <f t="shared" si="2"/>
        <v>1</v>
      </c>
    </row>
    <row r="47" ht="19.5" customHeight="1">
      <c r="A47" s="5">
        <f>IFERROR(__xludf.DUMMYFUNCTION("""COMPUTED_VALUE"""),350434.0)</f>
        <v>350434</v>
      </c>
      <c r="B47" s="5" t="str">
        <f>IFERROR(__xludf.DUMMYFUNCTION("""COMPUTED_VALUE"""),"石岡悠吾")</f>
        <v>石岡悠吾</v>
      </c>
      <c r="C47" s="5" t="str">
        <f>IFERROR(__xludf.DUMMYFUNCTION("""COMPUTED_VALUE"""),"いしおかゆうご")</f>
        <v>いしおかゆうご</v>
      </c>
      <c r="D47" s="5">
        <f>IFERROR(__xludf.DUMMYFUNCTION("""COMPUTED_VALUE"""),1.0)</f>
        <v>1</v>
      </c>
      <c r="E47" s="5" t="str">
        <f>IFERROR(__xludf.DUMMYFUNCTION("""COMPUTED_VALUE"""),"男")</f>
        <v>男</v>
      </c>
      <c r="F47" s="5" t="str">
        <f>IFERROR(__xludf.DUMMYFUNCTION("""COMPUTED_VALUE"""),"×欠場")</f>
        <v>×欠場</v>
      </c>
      <c r="G47" s="5" t="str">
        <f>IFERROR(__xludf.DUMMYFUNCTION("""COMPUTED_VALUE"""),"×欠場")</f>
        <v>×欠場</v>
      </c>
      <c r="H47" s="5"/>
      <c r="I47" s="5" t="str">
        <f>IFERROR(__xludf.DUMMYFUNCTION("""COMPUTED_VALUE"""),"×参加しない")</f>
        <v>×参加しない</v>
      </c>
      <c r="J47" s="5"/>
      <c r="K47" s="12">
        <f t="shared" si="2"/>
        <v>0</v>
      </c>
    </row>
    <row r="48" ht="19.5" customHeight="1">
      <c r="A48" s="5">
        <f>IFERROR(__xludf.DUMMYFUNCTION("""COMPUTED_VALUE"""),350435.0)</f>
        <v>350435</v>
      </c>
      <c r="B48" s="5" t="str">
        <f>IFERROR(__xludf.DUMMYFUNCTION("""COMPUTED_VALUE"""),"矢野颯汰")</f>
        <v>矢野颯汰</v>
      </c>
      <c r="C48" s="5" t="str">
        <f>IFERROR(__xludf.DUMMYFUNCTION("""COMPUTED_VALUE"""),"やのそうた")</f>
        <v>やのそうた</v>
      </c>
      <c r="D48" s="5">
        <f>IFERROR(__xludf.DUMMYFUNCTION("""COMPUTED_VALUE"""),1.0)</f>
        <v>1</v>
      </c>
      <c r="E48" s="5" t="str">
        <f>IFERROR(__xludf.DUMMYFUNCTION("""COMPUTED_VALUE"""),"男")</f>
        <v>男</v>
      </c>
      <c r="F48" s="5" t="str">
        <f>IFERROR(__xludf.DUMMYFUNCTION("""COMPUTED_VALUE"""),"×欠場")</f>
        <v>×欠場</v>
      </c>
      <c r="G48" s="5" t="str">
        <f>IFERROR(__xludf.DUMMYFUNCTION("""COMPUTED_VALUE"""),"×欠場")</f>
        <v>×欠場</v>
      </c>
      <c r="H48" s="5"/>
      <c r="I48" s="5" t="str">
        <f>IFERROR(__xludf.DUMMYFUNCTION("""COMPUTED_VALUE"""),"×参加しない")</f>
        <v>×参加しない</v>
      </c>
      <c r="J48" s="5"/>
      <c r="K48" s="12">
        <f t="shared" si="2"/>
        <v>0</v>
      </c>
    </row>
    <row r="49" ht="19.5" customHeight="1">
      <c r="A49" s="5">
        <f>IFERROR(__xludf.DUMMYFUNCTION("""COMPUTED_VALUE"""),350436.0)</f>
        <v>350436</v>
      </c>
      <c r="B49" s="5" t="str">
        <f>IFERROR(__xludf.DUMMYFUNCTION("""COMPUTED_VALUE"""),"本村祐貴")</f>
        <v>本村祐貴</v>
      </c>
      <c r="C49" s="5" t="str">
        <f>IFERROR(__xludf.DUMMYFUNCTION("""COMPUTED_VALUE"""),"もとむらゆうき")</f>
        <v>もとむらゆうき</v>
      </c>
      <c r="D49" s="5">
        <f>IFERROR(__xludf.DUMMYFUNCTION("""COMPUTED_VALUE"""),1.0)</f>
        <v>1</v>
      </c>
      <c r="E49" s="5" t="str">
        <f>IFERROR(__xludf.DUMMYFUNCTION("""COMPUTED_VALUE"""),"男")</f>
        <v>男</v>
      </c>
      <c r="F49" s="5" t="str">
        <f>IFERROR(__xludf.DUMMYFUNCTION("""COMPUTED_VALUE"""),"×欠場")</f>
        <v>×欠場</v>
      </c>
      <c r="G49" s="5" t="str">
        <f>IFERROR(__xludf.DUMMYFUNCTION("""COMPUTED_VALUE"""),"×欠場")</f>
        <v>×欠場</v>
      </c>
      <c r="H49" s="5"/>
      <c r="I49" s="5" t="str">
        <f>IFERROR(__xludf.DUMMYFUNCTION("""COMPUTED_VALUE"""),"×参加しない")</f>
        <v>×参加しない</v>
      </c>
      <c r="J49" s="5"/>
      <c r="K49" s="12">
        <f t="shared" si="2"/>
        <v>0</v>
      </c>
    </row>
    <row r="50" ht="19.5" customHeight="1">
      <c r="A50" s="5">
        <f>IFERROR(__xludf.DUMMYFUNCTION("""COMPUTED_VALUE"""),350437.0)</f>
        <v>350437</v>
      </c>
      <c r="B50" s="5" t="str">
        <f>IFERROR(__xludf.DUMMYFUNCTION("""COMPUTED_VALUE"""),"藤島成邦")</f>
        <v>藤島成邦</v>
      </c>
      <c r="C50" s="5" t="str">
        <f>IFERROR(__xludf.DUMMYFUNCTION("""COMPUTED_VALUE"""),"ふじしましげくに")</f>
        <v>ふじしましげくに</v>
      </c>
      <c r="D50" s="5">
        <f>IFERROR(__xludf.DUMMYFUNCTION("""COMPUTED_VALUE"""),1.0)</f>
        <v>1</v>
      </c>
      <c r="E50" s="5" t="str">
        <f>IFERROR(__xludf.DUMMYFUNCTION("""COMPUTED_VALUE"""),"男")</f>
        <v>男</v>
      </c>
      <c r="F50" s="5" t="str">
        <f>IFERROR(__xludf.DUMMYFUNCTION("""COMPUTED_VALUE"""),"×欠場")</f>
        <v>×欠場</v>
      </c>
      <c r="G50" s="5" t="str">
        <f>IFERROR(__xludf.DUMMYFUNCTION("""COMPUTED_VALUE"""),"×欠場")</f>
        <v>×欠場</v>
      </c>
      <c r="H50" s="5"/>
      <c r="I50" s="5" t="str">
        <f>IFERROR(__xludf.DUMMYFUNCTION("""COMPUTED_VALUE"""),"×参加しない")</f>
        <v>×参加しない</v>
      </c>
      <c r="J50" s="5"/>
      <c r="K50" s="12">
        <f t="shared" si="2"/>
        <v>0</v>
      </c>
    </row>
    <row r="51" ht="19.5" customHeight="1">
      <c r="A51" s="5">
        <f>IFERROR(__xludf.DUMMYFUNCTION("""COMPUTED_VALUE"""),350439.0)</f>
        <v>350439</v>
      </c>
      <c r="B51" s="5" t="str">
        <f>IFERROR(__xludf.DUMMYFUNCTION("""COMPUTED_VALUE"""),"相良侑弥")</f>
        <v>相良侑弥</v>
      </c>
      <c r="C51" s="5" t="str">
        <f>IFERROR(__xludf.DUMMYFUNCTION("""COMPUTED_VALUE"""),"さがらゆうや")</f>
        <v>さがらゆうや</v>
      </c>
      <c r="D51" s="5">
        <f>IFERROR(__xludf.DUMMYFUNCTION("""COMPUTED_VALUE"""),1.0)</f>
        <v>1</v>
      </c>
      <c r="E51" s="5" t="str">
        <f>IFERROR(__xludf.DUMMYFUNCTION("""COMPUTED_VALUE"""),"男")</f>
        <v>男</v>
      </c>
      <c r="F51" s="5" t="str">
        <f>IFERROR(__xludf.DUMMYFUNCTION("""COMPUTED_VALUE"""),"×欠場")</f>
        <v>×欠場</v>
      </c>
      <c r="G51" s="5" t="str">
        <f>IFERROR(__xludf.DUMMYFUNCTION("""COMPUTED_VALUE"""),"×欠場")</f>
        <v>×欠場</v>
      </c>
      <c r="H51" s="5"/>
      <c r="I51" s="5" t="str">
        <f>IFERROR(__xludf.DUMMYFUNCTION("""COMPUTED_VALUE"""),"×参加しない")</f>
        <v>×参加しない</v>
      </c>
      <c r="J51" s="5"/>
      <c r="K51" s="12">
        <f t="shared" si="2"/>
        <v>0</v>
      </c>
    </row>
    <row r="52" ht="19.5" customHeight="1">
      <c r="A52" s="5">
        <f>IFERROR(__xludf.DUMMYFUNCTION("""COMPUTED_VALUE"""),350440.0)</f>
        <v>350440</v>
      </c>
      <c r="B52" s="5" t="str">
        <f>IFERROR(__xludf.DUMMYFUNCTION("""COMPUTED_VALUE"""),"中西彩寧")</f>
        <v>中西彩寧</v>
      </c>
      <c r="C52" s="5" t="str">
        <f>IFERROR(__xludf.DUMMYFUNCTION("""COMPUTED_VALUE"""),"なかにしあやね")</f>
        <v>なかにしあやね</v>
      </c>
      <c r="D52" s="5">
        <f>IFERROR(__xludf.DUMMYFUNCTION("""COMPUTED_VALUE"""),1.0)</f>
        <v>1</v>
      </c>
      <c r="E52" s="5" t="str">
        <f>IFERROR(__xludf.DUMMYFUNCTION("""COMPUTED_VALUE"""),"女")</f>
        <v>女</v>
      </c>
      <c r="F52" s="5" t="str">
        <f>IFERROR(__xludf.DUMMYFUNCTION("""COMPUTED_VALUE"""),"WUF")</f>
        <v>WUF</v>
      </c>
      <c r="G52" s="5" t="str">
        <f>IFERROR(__xludf.DUMMYFUNCTION("""COMPUTED_VALUE"""),"○出場")</f>
        <v>○出場</v>
      </c>
      <c r="H52" s="5">
        <f>IFERROR(__xludf.DUMMYFUNCTION("""COMPUTED_VALUE"""),525171.0)</f>
        <v>525171</v>
      </c>
      <c r="I52" s="5" t="str">
        <f>IFERROR(__xludf.DUMMYFUNCTION("""COMPUTED_VALUE"""),"×参加しない")</f>
        <v>×参加しない</v>
      </c>
      <c r="J52" s="5"/>
      <c r="K52" s="12">
        <f t="shared" si="2"/>
        <v>1</v>
      </c>
    </row>
    <row r="53" ht="19.5" customHeight="1">
      <c r="A53" s="5">
        <f>IFERROR(__xludf.DUMMYFUNCTION("""COMPUTED_VALUE"""),350441.0)</f>
        <v>350441</v>
      </c>
      <c r="B53" s="5" t="str">
        <f>IFERROR(__xludf.DUMMYFUNCTION("""COMPUTED_VALUE"""),"小林和輝")</f>
        <v>小林和輝</v>
      </c>
      <c r="C53" s="5" t="str">
        <f>IFERROR(__xludf.DUMMYFUNCTION("""COMPUTED_VALUE"""),"こばやしかずき")</f>
        <v>こばやしかずき</v>
      </c>
      <c r="D53" s="5">
        <f>IFERROR(__xludf.DUMMYFUNCTION("""COMPUTED_VALUE"""),1.0)</f>
        <v>1</v>
      </c>
      <c r="E53" s="5" t="str">
        <f>IFERROR(__xludf.DUMMYFUNCTION("""COMPUTED_VALUE"""),"男")</f>
        <v>男</v>
      </c>
      <c r="F53" s="5" t="str">
        <f>IFERROR(__xludf.DUMMYFUNCTION("""COMPUTED_VALUE"""),"×欠場")</f>
        <v>×欠場</v>
      </c>
      <c r="G53" s="5" t="str">
        <f>IFERROR(__xludf.DUMMYFUNCTION("""COMPUTED_VALUE"""),"×欠場")</f>
        <v>×欠場</v>
      </c>
      <c r="H53" s="5"/>
      <c r="I53" s="5" t="str">
        <f>IFERROR(__xludf.DUMMYFUNCTION("""COMPUTED_VALUE"""),"×参加しない")</f>
        <v>×参加しない</v>
      </c>
      <c r="J53" s="5"/>
      <c r="K53" s="12">
        <f t="shared" si="2"/>
        <v>0</v>
      </c>
    </row>
    <row r="54" ht="19.5" customHeight="1">
      <c r="A54" s="5">
        <f>IFERROR(__xludf.DUMMYFUNCTION("""COMPUTED_VALUE"""),350442.0)</f>
        <v>350442</v>
      </c>
      <c r="B54" s="5" t="str">
        <f>IFERROR(__xludf.DUMMYFUNCTION("""COMPUTED_VALUE"""),"森下結友")</f>
        <v>森下結友</v>
      </c>
      <c r="C54" s="5" t="str">
        <f>IFERROR(__xludf.DUMMYFUNCTION("""COMPUTED_VALUE"""),"もりしたゆいと")</f>
        <v>もりしたゆいと</v>
      </c>
      <c r="D54" s="5">
        <f>IFERROR(__xludf.DUMMYFUNCTION("""COMPUTED_VALUE"""),1.0)</f>
        <v>1</v>
      </c>
      <c r="E54" s="5" t="str">
        <f>IFERROR(__xludf.DUMMYFUNCTION("""COMPUTED_VALUE"""),"男")</f>
        <v>男</v>
      </c>
      <c r="F54" s="5" t="str">
        <f>IFERROR(__xludf.DUMMYFUNCTION("""COMPUTED_VALUE"""),"×欠場")</f>
        <v>×欠場</v>
      </c>
      <c r="G54" s="5" t="str">
        <f>IFERROR(__xludf.DUMMYFUNCTION("""COMPUTED_VALUE"""),"×欠場")</f>
        <v>×欠場</v>
      </c>
      <c r="H54" s="5"/>
      <c r="I54" s="5" t="str">
        <f>IFERROR(__xludf.DUMMYFUNCTION("""COMPUTED_VALUE"""),"×参加しない")</f>
        <v>×参加しない</v>
      </c>
      <c r="J54" s="5"/>
      <c r="K54" s="12">
        <f t="shared" si="2"/>
        <v>0</v>
      </c>
    </row>
    <row r="55" ht="19.5" customHeight="1">
      <c r="A55" s="5">
        <f>IFERROR(__xludf.DUMMYFUNCTION("""COMPUTED_VALUE"""),350443.0)</f>
        <v>350443</v>
      </c>
      <c r="B55" s="5" t="str">
        <f>IFERROR(__xludf.DUMMYFUNCTION("""COMPUTED_VALUE"""),"大田瑠祥")</f>
        <v>大田瑠祥</v>
      </c>
      <c r="C55" s="5" t="str">
        <f>IFERROR(__xludf.DUMMYFUNCTION("""COMPUTED_VALUE"""),"おおたりゅうしょう")</f>
        <v>おおたりゅうしょう</v>
      </c>
      <c r="D55" s="5">
        <f>IFERROR(__xludf.DUMMYFUNCTION("""COMPUTED_VALUE"""),1.0)</f>
        <v>1</v>
      </c>
      <c r="E55" s="5" t="str">
        <f>IFERROR(__xludf.DUMMYFUNCTION("""COMPUTED_VALUE"""),"男")</f>
        <v>男</v>
      </c>
      <c r="F55" s="5" t="str">
        <f>IFERROR(__xludf.DUMMYFUNCTION("""COMPUTED_VALUE"""),"×欠場")</f>
        <v>×欠場</v>
      </c>
      <c r="G55" s="5" t="str">
        <f>IFERROR(__xludf.DUMMYFUNCTION("""COMPUTED_VALUE"""),"×欠場")</f>
        <v>×欠場</v>
      </c>
      <c r="H55" s="5"/>
      <c r="I55" s="5" t="str">
        <f>IFERROR(__xludf.DUMMYFUNCTION("""COMPUTED_VALUE"""),"×参加しない")</f>
        <v>×参加しない</v>
      </c>
      <c r="J55" s="5"/>
      <c r="K55" s="12">
        <f t="shared" si="2"/>
        <v>0</v>
      </c>
    </row>
    <row r="56" ht="19.5" customHeight="1">
      <c r="A56" s="5">
        <f>IFERROR(__xludf.DUMMYFUNCTION("""COMPUTED_VALUE"""),350444.0)</f>
        <v>350444</v>
      </c>
      <c r="B56" s="5" t="str">
        <f>IFERROR(__xludf.DUMMYFUNCTION("""COMPUTED_VALUE"""),"北川晟慈")</f>
        <v>北川晟慈</v>
      </c>
      <c r="C56" s="5" t="str">
        <f>IFERROR(__xludf.DUMMYFUNCTION("""COMPUTED_VALUE"""),"きたがわせいじ")</f>
        <v>きたがわせいじ</v>
      </c>
      <c r="D56" s="5">
        <f>IFERROR(__xludf.DUMMYFUNCTION("""COMPUTED_VALUE"""),1.0)</f>
        <v>1</v>
      </c>
      <c r="E56" s="5" t="str">
        <f>IFERROR(__xludf.DUMMYFUNCTION("""COMPUTED_VALUE"""),"男")</f>
        <v>男</v>
      </c>
      <c r="F56" s="5" t="str">
        <f>IFERROR(__xludf.DUMMYFUNCTION("""COMPUTED_VALUE"""),"×欠場")</f>
        <v>×欠場</v>
      </c>
      <c r="G56" s="5" t="str">
        <f>IFERROR(__xludf.DUMMYFUNCTION("""COMPUTED_VALUE"""),"×欠場")</f>
        <v>×欠場</v>
      </c>
      <c r="H56" s="5"/>
      <c r="I56" s="5" t="str">
        <f>IFERROR(__xludf.DUMMYFUNCTION("""COMPUTED_VALUE"""),"×参加しない")</f>
        <v>×参加しない</v>
      </c>
      <c r="J56" s="5"/>
      <c r="K56" s="12">
        <f t="shared" si="2"/>
        <v>0</v>
      </c>
    </row>
    <row r="57" ht="19.5" customHeight="1">
      <c r="A57" s="5">
        <f>IFERROR(__xludf.DUMMYFUNCTION("""COMPUTED_VALUE"""),350445.0)</f>
        <v>350445</v>
      </c>
      <c r="B57" s="5" t="str">
        <f>IFERROR(__xludf.DUMMYFUNCTION("""COMPUTED_VALUE"""),"清野倫太郎")</f>
        <v>清野倫太郎</v>
      </c>
      <c r="C57" s="5" t="str">
        <f>IFERROR(__xludf.DUMMYFUNCTION("""COMPUTED_VALUE"""),"きよのりんたろう")</f>
        <v>きよのりんたろう</v>
      </c>
      <c r="D57" s="5">
        <f>IFERROR(__xludf.DUMMYFUNCTION("""COMPUTED_VALUE"""),1.0)</f>
        <v>1</v>
      </c>
      <c r="E57" s="5" t="str">
        <f>IFERROR(__xludf.DUMMYFUNCTION("""COMPUTED_VALUE"""),"男")</f>
        <v>男</v>
      </c>
      <c r="F57" s="5" t="str">
        <f>IFERROR(__xludf.DUMMYFUNCTION("""COMPUTED_VALUE"""),"×欠場")</f>
        <v>×欠場</v>
      </c>
      <c r="G57" s="5" t="str">
        <f>IFERROR(__xludf.DUMMYFUNCTION("""COMPUTED_VALUE"""),"×欠場")</f>
        <v>×欠場</v>
      </c>
      <c r="H57" s="5"/>
      <c r="I57" s="5" t="str">
        <f>IFERROR(__xludf.DUMMYFUNCTION("""COMPUTED_VALUE"""),"×参加しない")</f>
        <v>×参加しない</v>
      </c>
      <c r="J57" s="5"/>
      <c r="K57" s="12">
        <f t="shared" si="2"/>
        <v>0</v>
      </c>
    </row>
    <row r="58" ht="19.5" customHeight="1">
      <c r="A58" s="5">
        <f>IFERROR(__xludf.DUMMYFUNCTION("""COMPUTED_VALUE"""),350446.0)</f>
        <v>350446</v>
      </c>
      <c r="B58" s="5" t="str">
        <f>IFERROR(__xludf.DUMMYFUNCTION("""COMPUTED_VALUE"""),"浅田宏")</f>
        <v>浅田宏</v>
      </c>
      <c r="C58" s="5" t="str">
        <f>IFERROR(__xludf.DUMMYFUNCTION("""COMPUTED_VALUE"""),"あさだひろし")</f>
        <v>あさだひろし</v>
      </c>
      <c r="D58" s="5">
        <f>IFERROR(__xludf.DUMMYFUNCTION("""COMPUTED_VALUE"""),1.0)</f>
        <v>1</v>
      </c>
      <c r="E58" s="5" t="str">
        <f>IFERROR(__xludf.DUMMYFUNCTION("""COMPUTED_VALUE"""),"男")</f>
        <v>男</v>
      </c>
      <c r="F58" s="5" t="str">
        <f>IFERROR(__xludf.DUMMYFUNCTION("""COMPUTED_VALUE"""),"×欠場")</f>
        <v>×欠場</v>
      </c>
      <c r="G58" s="5" t="str">
        <f>IFERROR(__xludf.DUMMYFUNCTION("""COMPUTED_VALUE"""),"×欠場")</f>
        <v>×欠場</v>
      </c>
      <c r="H58" s="5"/>
      <c r="I58" s="5" t="str">
        <f>IFERROR(__xludf.DUMMYFUNCTION("""COMPUTED_VALUE"""),"×参加しない")</f>
        <v>×参加しない</v>
      </c>
      <c r="J58" s="5"/>
      <c r="K58" s="12">
        <f t="shared" si="2"/>
        <v>0</v>
      </c>
    </row>
    <row r="59" ht="19.5" customHeight="1">
      <c r="A59" s="5">
        <f>IFERROR(__xludf.DUMMYFUNCTION("""COMPUTED_VALUE"""),250401.0)</f>
        <v>250401</v>
      </c>
      <c r="B59" s="5" t="str">
        <f>IFERROR(__xludf.DUMMYFUNCTION("""COMPUTED_VALUE"""),"落合英那")</f>
        <v>落合英那</v>
      </c>
      <c r="C59" s="5" t="str">
        <f>IFERROR(__xludf.DUMMYFUNCTION("""COMPUTED_VALUE"""),"おちあいはな")</f>
        <v>おちあいはな</v>
      </c>
      <c r="D59" s="5">
        <f>IFERROR(__xludf.DUMMYFUNCTION("""COMPUTED_VALUE"""),2.0)</f>
        <v>2</v>
      </c>
      <c r="E59" s="5" t="str">
        <f>IFERROR(__xludf.DUMMYFUNCTION("""COMPUTED_VALUE"""),"女")</f>
        <v>女</v>
      </c>
      <c r="F59" s="5" t="str">
        <f>IFERROR(__xludf.DUMMYFUNCTION("""COMPUTED_VALUE"""),"WUA")</f>
        <v>WUA</v>
      </c>
      <c r="G59" s="5" t="str">
        <f>IFERROR(__xludf.DUMMYFUNCTION("""COMPUTED_VALUE"""),"○出場")</f>
        <v>○出場</v>
      </c>
      <c r="H59" s="5">
        <f>IFERROR(__xludf.DUMMYFUNCTION("""COMPUTED_VALUE"""),518834.0)</f>
        <v>518834</v>
      </c>
      <c r="I59" s="5" t="str">
        <f>IFERROR(__xludf.DUMMYFUNCTION("""COMPUTED_VALUE"""),"○参加する")</f>
        <v>○参加する</v>
      </c>
      <c r="J59" s="5"/>
      <c r="K59" s="12">
        <f t="shared" si="2"/>
        <v>1</v>
      </c>
    </row>
    <row r="60" ht="19.5" customHeight="1">
      <c r="A60" s="5">
        <f>IFERROR(__xludf.DUMMYFUNCTION("""COMPUTED_VALUE"""),250404.0)</f>
        <v>250404</v>
      </c>
      <c r="B60" s="5" t="str">
        <f>IFERROR(__xludf.DUMMYFUNCTION("""COMPUTED_VALUE"""),"江口俊太朗")</f>
        <v>江口俊太朗</v>
      </c>
      <c r="C60" s="5" t="str">
        <f>IFERROR(__xludf.DUMMYFUNCTION("""COMPUTED_VALUE"""),"えぐちしゅんたろう")</f>
        <v>えぐちしゅんたろう</v>
      </c>
      <c r="D60" s="5">
        <f>IFERROR(__xludf.DUMMYFUNCTION("""COMPUTED_VALUE"""),2.0)</f>
        <v>2</v>
      </c>
      <c r="E60" s="5" t="str">
        <f>IFERROR(__xludf.DUMMYFUNCTION("""COMPUTED_VALUE"""),"男")</f>
        <v>男</v>
      </c>
      <c r="F60" s="5" t="str">
        <f>IFERROR(__xludf.DUMMYFUNCTION("""COMPUTED_VALUE"""),"×欠場")</f>
        <v>×欠場</v>
      </c>
      <c r="G60" s="5" t="str">
        <f>IFERROR(__xludf.DUMMYFUNCTION("""COMPUTED_VALUE"""),"×欠場")</f>
        <v>×欠場</v>
      </c>
      <c r="H60" s="5"/>
      <c r="I60" s="5" t="str">
        <f>IFERROR(__xludf.DUMMYFUNCTION("""COMPUTED_VALUE"""),"×参加しない")</f>
        <v>×参加しない</v>
      </c>
      <c r="J60" s="5"/>
      <c r="K60" s="12">
        <f t="shared" si="2"/>
        <v>0</v>
      </c>
    </row>
    <row r="61" ht="19.5" customHeight="1">
      <c r="A61" s="5">
        <f>IFERROR(__xludf.DUMMYFUNCTION("""COMPUTED_VALUE"""),250408.0)</f>
        <v>250408</v>
      </c>
      <c r="B61" s="5" t="str">
        <f>IFERROR(__xludf.DUMMYFUNCTION("""COMPUTED_VALUE"""),"清住尚平")</f>
        <v>清住尚平</v>
      </c>
      <c r="C61" s="5" t="str">
        <f>IFERROR(__xludf.DUMMYFUNCTION("""COMPUTED_VALUE"""),"きよずみしょうへい")</f>
        <v>きよずみしょうへい</v>
      </c>
      <c r="D61" s="5">
        <f>IFERROR(__xludf.DUMMYFUNCTION("""COMPUTED_VALUE"""),2.0)</f>
        <v>2</v>
      </c>
      <c r="E61" s="5" t="str">
        <f>IFERROR(__xludf.DUMMYFUNCTION("""COMPUTED_VALUE"""),"男")</f>
        <v>男</v>
      </c>
      <c r="F61" s="5" t="str">
        <f>IFERROR(__xludf.DUMMYFUNCTION("""COMPUTED_VALUE"""),"MUA")</f>
        <v>MUA</v>
      </c>
      <c r="G61" s="5" t="str">
        <f>IFERROR(__xludf.DUMMYFUNCTION("""COMPUTED_VALUE"""),"○出場")</f>
        <v>○出場</v>
      </c>
      <c r="H61" s="5">
        <f>IFERROR(__xludf.DUMMYFUNCTION("""COMPUTED_VALUE"""),525165.0)</f>
        <v>525165</v>
      </c>
      <c r="I61" s="5" t="str">
        <f>IFERROR(__xludf.DUMMYFUNCTION("""COMPUTED_VALUE"""),"○参加する")</f>
        <v>○参加する</v>
      </c>
      <c r="J61" s="5"/>
      <c r="K61" s="12">
        <f t="shared" si="2"/>
        <v>1</v>
      </c>
    </row>
    <row r="62" ht="19.5" customHeight="1">
      <c r="A62" s="5">
        <f>IFERROR(__xludf.DUMMYFUNCTION("""COMPUTED_VALUE"""),250410.0)</f>
        <v>250410</v>
      </c>
      <c r="B62" s="5" t="str">
        <f>IFERROR(__xludf.DUMMYFUNCTION("""COMPUTED_VALUE"""),"佐合慶哉")</f>
        <v>佐合慶哉</v>
      </c>
      <c r="C62" s="5" t="str">
        <f>IFERROR(__xludf.DUMMYFUNCTION("""COMPUTED_VALUE"""),"さごうけいや")</f>
        <v>さごうけいや</v>
      </c>
      <c r="D62" s="5">
        <f>IFERROR(__xludf.DUMMYFUNCTION("""COMPUTED_VALUE"""),2.0)</f>
        <v>2</v>
      </c>
      <c r="E62" s="5" t="str">
        <f>IFERROR(__xludf.DUMMYFUNCTION("""COMPUTED_VALUE"""),"男")</f>
        <v>男</v>
      </c>
      <c r="F62" s="5" t="str">
        <f>IFERROR(__xludf.DUMMYFUNCTION("""COMPUTED_VALUE"""),"MUA")</f>
        <v>MUA</v>
      </c>
      <c r="G62" s="5" t="str">
        <f>IFERROR(__xludf.DUMMYFUNCTION("""COMPUTED_VALUE"""),"○出場")</f>
        <v>○出場</v>
      </c>
      <c r="H62" s="5"/>
      <c r="I62" s="5" t="str">
        <f>IFERROR(__xludf.DUMMYFUNCTION("""COMPUTED_VALUE"""),"×参加しない")</f>
        <v>×参加しない</v>
      </c>
      <c r="J62" s="5"/>
      <c r="K62" s="12">
        <f t="shared" si="2"/>
        <v>1</v>
      </c>
    </row>
    <row r="63" ht="19.5" customHeight="1">
      <c r="A63" s="5">
        <f>IFERROR(__xludf.DUMMYFUNCTION("""COMPUTED_VALUE"""),250412.0)</f>
        <v>250412</v>
      </c>
      <c r="B63" s="5" t="str">
        <f>IFERROR(__xludf.DUMMYFUNCTION("""COMPUTED_VALUE"""),"杉中海斗")</f>
        <v>杉中海斗</v>
      </c>
      <c r="C63" s="5" t="str">
        <f>IFERROR(__xludf.DUMMYFUNCTION("""COMPUTED_VALUE"""),"すぎなかかいと")</f>
        <v>すぎなかかいと</v>
      </c>
      <c r="D63" s="5">
        <f>IFERROR(__xludf.DUMMYFUNCTION("""COMPUTED_VALUE"""),2.0)</f>
        <v>2</v>
      </c>
      <c r="E63" s="5" t="str">
        <f>IFERROR(__xludf.DUMMYFUNCTION("""COMPUTED_VALUE"""),"男")</f>
        <v>男</v>
      </c>
      <c r="F63" s="5" t="str">
        <f>IFERROR(__xludf.DUMMYFUNCTION("""COMPUTED_VALUE"""),"MUA")</f>
        <v>MUA</v>
      </c>
      <c r="G63" s="5" t="str">
        <f>IFERROR(__xludf.DUMMYFUNCTION("""COMPUTED_VALUE"""),"○出場")</f>
        <v>○出場</v>
      </c>
      <c r="H63" s="5">
        <f>IFERROR(__xludf.DUMMYFUNCTION("""COMPUTED_VALUE"""),525167.0)</f>
        <v>525167</v>
      </c>
      <c r="I63" s="5" t="str">
        <f>IFERROR(__xludf.DUMMYFUNCTION("""COMPUTED_VALUE"""),"○参加する")</f>
        <v>○参加する</v>
      </c>
      <c r="J63" s="5"/>
      <c r="K63" s="12">
        <f t="shared" si="2"/>
        <v>1</v>
      </c>
    </row>
    <row r="64" ht="19.5" customHeight="1">
      <c r="A64" s="5">
        <f>IFERROR(__xludf.DUMMYFUNCTION("""COMPUTED_VALUE"""),250415.0)</f>
        <v>250415</v>
      </c>
      <c r="B64" s="5" t="str">
        <f>IFERROR(__xludf.DUMMYFUNCTION("""COMPUTED_VALUE"""),"竹山悠斗")</f>
        <v>竹山悠斗</v>
      </c>
      <c r="C64" s="5" t="str">
        <f>IFERROR(__xludf.DUMMYFUNCTION("""COMPUTED_VALUE"""),"たけやまはると")</f>
        <v>たけやまはると</v>
      </c>
      <c r="D64" s="5">
        <f>IFERROR(__xludf.DUMMYFUNCTION("""COMPUTED_VALUE"""),2.0)</f>
        <v>2</v>
      </c>
      <c r="E64" s="5" t="str">
        <f>IFERROR(__xludf.DUMMYFUNCTION("""COMPUTED_VALUE"""),"男")</f>
        <v>男</v>
      </c>
      <c r="F64" s="5" t="str">
        <f>IFERROR(__xludf.DUMMYFUNCTION("""COMPUTED_VALUE"""),"MUA")</f>
        <v>MUA</v>
      </c>
      <c r="G64" s="5" t="str">
        <f>IFERROR(__xludf.DUMMYFUNCTION("""COMPUTED_VALUE"""),"○出場")</f>
        <v>○出場</v>
      </c>
      <c r="H64" s="5">
        <f>IFERROR(__xludf.DUMMYFUNCTION("""COMPUTED_VALUE"""),525175.0)</f>
        <v>525175</v>
      </c>
      <c r="I64" s="5" t="str">
        <f>IFERROR(__xludf.DUMMYFUNCTION("""COMPUTED_VALUE"""),"○参加する")</f>
        <v>○参加する</v>
      </c>
      <c r="J64" s="5"/>
      <c r="K64" s="12">
        <f t="shared" si="2"/>
        <v>1</v>
      </c>
    </row>
    <row r="65" ht="19.5" customHeight="1">
      <c r="A65" s="5">
        <f>IFERROR(__xludf.DUMMYFUNCTION("""COMPUTED_VALUE"""),250417.0)</f>
        <v>250417</v>
      </c>
      <c r="B65" s="5" t="str">
        <f>IFERROR(__xludf.DUMMYFUNCTION("""COMPUTED_VALUE"""),"中島新")</f>
        <v>中島新</v>
      </c>
      <c r="C65" s="5" t="str">
        <f>IFERROR(__xludf.DUMMYFUNCTION("""COMPUTED_VALUE"""),"なかじまあらた")</f>
        <v>なかじまあらた</v>
      </c>
      <c r="D65" s="5">
        <f>IFERROR(__xludf.DUMMYFUNCTION("""COMPUTED_VALUE"""),2.0)</f>
        <v>2</v>
      </c>
      <c r="E65" s="5" t="str">
        <f>IFERROR(__xludf.DUMMYFUNCTION("""COMPUTED_VALUE"""),"男")</f>
        <v>男</v>
      </c>
      <c r="F65" s="5" t="str">
        <f>IFERROR(__xludf.DUMMYFUNCTION("""COMPUTED_VALUE"""),"×欠場")</f>
        <v>×欠場</v>
      </c>
      <c r="G65" s="5" t="str">
        <f>IFERROR(__xludf.DUMMYFUNCTION("""COMPUTED_VALUE"""),"×欠場")</f>
        <v>×欠場</v>
      </c>
      <c r="H65" s="5"/>
      <c r="I65" s="5" t="str">
        <f>IFERROR(__xludf.DUMMYFUNCTION("""COMPUTED_VALUE"""),"×参加しない")</f>
        <v>×参加しない</v>
      </c>
      <c r="J65" s="5"/>
      <c r="K65" s="12">
        <f t="shared" si="2"/>
        <v>0</v>
      </c>
    </row>
    <row r="66" ht="19.5" customHeight="1">
      <c r="A66" s="5">
        <f>IFERROR(__xludf.DUMMYFUNCTION("""COMPUTED_VALUE"""),250420.0)</f>
        <v>250420</v>
      </c>
      <c r="B66" s="5" t="str">
        <f>IFERROR(__xludf.DUMMYFUNCTION("""COMPUTED_VALUE"""),"沼田奈津")</f>
        <v>沼田奈津</v>
      </c>
      <c r="C66" s="5" t="str">
        <f>IFERROR(__xludf.DUMMYFUNCTION("""COMPUTED_VALUE"""),"ぬまたなつ")</f>
        <v>ぬまたなつ</v>
      </c>
      <c r="D66" s="5">
        <f>IFERROR(__xludf.DUMMYFUNCTION("""COMPUTED_VALUE"""),2.0)</f>
        <v>2</v>
      </c>
      <c r="E66" s="5" t="str">
        <f>IFERROR(__xludf.DUMMYFUNCTION("""COMPUTED_VALUE"""),"女")</f>
        <v>女</v>
      </c>
      <c r="F66" s="5" t="str">
        <f>IFERROR(__xludf.DUMMYFUNCTION("""COMPUTED_VALUE"""),"WUA")</f>
        <v>WUA</v>
      </c>
      <c r="G66" s="5" t="str">
        <f>IFERROR(__xludf.DUMMYFUNCTION("""COMPUTED_VALUE"""),"○出場")</f>
        <v>○出場</v>
      </c>
      <c r="H66" s="5">
        <f>IFERROR(__xludf.DUMMYFUNCTION("""COMPUTED_VALUE"""),525168.0)</f>
        <v>525168</v>
      </c>
      <c r="I66" s="5" t="str">
        <f>IFERROR(__xludf.DUMMYFUNCTION("""COMPUTED_VALUE"""),"○参加する")</f>
        <v>○参加する</v>
      </c>
      <c r="J66" s="5"/>
      <c r="K66" s="12">
        <f t="shared" si="2"/>
        <v>1</v>
      </c>
    </row>
    <row r="67" ht="19.5" customHeight="1">
      <c r="A67" s="5">
        <f>IFERROR(__xludf.DUMMYFUNCTION("""COMPUTED_VALUE"""),250421.0)</f>
        <v>250421</v>
      </c>
      <c r="B67" s="5" t="str">
        <f>IFERROR(__xludf.DUMMYFUNCTION("""COMPUTED_VALUE"""),"野田晃司")</f>
        <v>野田晃司</v>
      </c>
      <c r="C67" s="5" t="str">
        <f>IFERROR(__xludf.DUMMYFUNCTION("""COMPUTED_VALUE"""),"のだこうじ")</f>
        <v>のだこうじ</v>
      </c>
      <c r="D67" s="5">
        <f>IFERROR(__xludf.DUMMYFUNCTION("""COMPUTED_VALUE"""),2.0)</f>
        <v>2</v>
      </c>
      <c r="E67" s="5" t="str">
        <f>IFERROR(__xludf.DUMMYFUNCTION("""COMPUTED_VALUE"""),"男")</f>
        <v>男</v>
      </c>
      <c r="F67" s="5" t="str">
        <f>IFERROR(__xludf.DUMMYFUNCTION("""COMPUTED_VALUE"""),"MUA")</f>
        <v>MUA</v>
      </c>
      <c r="G67" s="5" t="str">
        <f>IFERROR(__xludf.DUMMYFUNCTION("""COMPUTED_VALUE"""),"○出場")</f>
        <v>○出場</v>
      </c>
      <c r="H67" s="5">
        <f>IFERROR(__xludf.DUMMYFUNCTION("""COMPUTED_VALUE"""),525163.0)</f>
        <v>525163</v>
      </c>
      <c r="I67" s="5" t="str">
        <f>IFERROR(__xludf.DUMMYFUNCTION("""COMPUTED_VALUE"""),"×参加しない")</f>
        <v>×参加しない</v>
      </c>
      <c r="J67" s="5"/>
      <c r="K67" s="12">
        <f t="shared" si="2"/>
        <v>1</v>
      </c>
    </row>
    <row r="68" ht="19.5" customHeight="1">
      <c r="A68" s="5">
        <f>IFERROR(__xludf.DUMMYFUNCTION("""COMPUTED_VALUE"""),250426.0)</f>
        <v>250426</v>
      </c>
      <c r="B68" s="5" t="str">
        <f>IFERROR(__xludf.DUMMYFUNCTION("""COMPUTED_VALUE"""),"森田　歩暉")</f>
        <v>森田　歩暉</v>
      </c>
      <c r="C68" s="5" t="str">
        <f>IFERROR(__xludf.DUMMYFUNCTION("""COMPUTED_VALUE"""),"もりたいぶき")</f>
        <v>もりたいぶき</v>
      </c>
      <c r="D68" s="5">
        <f>IFERROR(__xludf.DUMMYFUNCTION("""COMPUTED_VALUE"""),2.0)</f>
        <v>2</v>
      </c>
      <c r="E68" s="5" t="str">
        <f>IFERROR(__xludf.DUMMYFUNCTION("""COMPUTED_VALUE"""),"男")</f>
        <v>男</v>
      </c>
      <c r="F68" s="5" t="str">
        <f>IFERROR(__xludf.DUMMYFUNCTION("""COMPUTED_VALUE"""),"MUA")</f>
        <v>MUA</v>
      </c>
      <c r="G68" s="5" t="str">
        <f>IFERROR(__xludf.DUMMYFUNCTION("""COMPUTED_VALUE"""),"○出場")</f>
        <v>○出場</v>
      </c>
      <c r="H68" s="5">
        <f>IFERROR(__xludf.DUMMYFUNCTION("""COMPUTED_VALUE"""),525178.0)</f>
        <v>525178</v>
      </c>
      <c r="I68" s="5" t="str">
        <f>IFERROR(__xludf.DUMMYFUNCTION("""COMPUTED_VALUE"""),"○参加する")</f>
        <v>○参加する</v>
      </c>
      <c r="J68" s="5"/>
      <c r="K68" s="12">
        <f t="shared" si="2"/>
        <v>1</v>
      </c>
    </row>
    <row r="69" ht="19.5" customHeight="1">
      <c r="A69" s="5">
        <f>IFERROR(__xludf.DUMMYFUNCTION("""COMPUTED_VALUE"""),250427.0)</f>
        <v>250427</v>
      </c>
      <c r="B69" s="5" t="str">
        <f>IFERROR(__xludf.DUMMYFUNCTION("""COMPUTED_VALUE"""),"屋敷龍吾")</f>
        <v>屋敷龍吾</v>
      </c>
      <c r="C69" s="5" t="str">
        <f>IFERROR(__xludf.DUMMYFUNCTION("""COMPUTED_VALUE"""),"やしきりゅうご")</f>
        <v>やしきりゅうご</v>
      </c>
      <c r="D69" s="5">
        <f>IFERROR(__xludf.DUMMYFUNCTION("""COMPUTED_VALUE"""),2.0)</f>
        <v>2</v>
      </c>
      <c r="E69" s="5" t="str">
        <f>IFERROR(__xludf.DUMMYFUNCTION("""COMPUTED_VALUE"""),"男")</f>
        <v>男</v>
      </c>
      <c r="F69" s="5" t="str">
        <f>IFERROR(__xludf.DUMMYFUNCTION("""COMPUTED_VALUE"""),"MUA")</f>
        <v>MUA</v>
      </c>
      <c r="G69" s="5" t="str">
        <f>IFERROR(__xludf.DUMMYFUNCTION("""COMPUTED_VALUE"""),"○出場")</f>
        <v>○出場</v>
      </c>
      <c r="H69" s="5">
        <f>IFERROR(__xludf.DUMMYFUNCTION("""COMPUTED_VALUE"""),240619.0)</f>
        <v>240619</v>
      </c>
      <c r="I69" s="5" t="str">
        <f>IFERROR(__xludf.DUMMYFUNCTION("""COMPUTED_VALUE"""),"×参加しない")</f>
        <v>×参加しない</v>
      </c>
      <c r="J69" s="5"/>
      <c r="K69" s="12">
        <f t="shared" si="2"/>
        <v>1</v>
      </c>
    </row>
    <row r="70" ht="19.5" customHeight="1">
      <c r="A70" s="5">
        <f>IFERROR(__xludf.DUMMYFUNCTION("""COMPUTED_VALUE"""),250429.0)</f>
        <v>250429</v>
      </c>
      <c r="B70" s="5" t="str">
        <f>IFERROR(__xludf.DUMMYFUNCTION("""COMPUTED_VALUE"""),"山下祥平")</f>
        <v>山下祥平</v>
      </c>
      <c r="C70" s="5" t="str">
        <f>IFERROR(__xludf.DUMMYFUNCTION("""COMPUTED_VALUE"""),"やましたしょうへい")</f>
        <v>やましたしょうへい</v>
      </c>
      <c r="D70" s="5">
        <f>IFERROR(__xludf.DUMMYFUNCTION("""COMPUTED_VALUE"""),2.0)</f>
        <v>2</v>
      </c>
      <c r="E70" s="5" t="str">
        <f>IFERROR(__xludf.DUMMYFUNCTION("""COMPUTED_VALUE"""),"男")</f>
        <v>男</v>
      </c>
      <c r="F70" s="5" t="str">
        <f>IFERROR(__xludf.DUMMYFUNCTION("""COMPUTED_VALUE"""),"×欠場")</f>
        <v>×欠場</v>
      </c>
      <c r="G70" s="5" t="str">
        <f>IFERROR(__xludf.DUMMYFUNCTION("""COMPUTED_VALUE"""),"×欠場")</f>
        <v>×欠場</v>
      </c>
      <c r="H70" s="5"/>
      <c r="I70" s="5" t="str">
        <f>IFERROR(__xludf.DUMMYFUNCTION("""COMPUTED_VALUE"""),"×参加しない")</f>
        <v>×参加しない</v>
      </c>
      <c r="J70" s="5"/>
      <c r="K70" s="12">
        <f t="shared" si="2"/>
        <v>0</v>
      </c>
    </row>
    <row r="71" ht="19.5" customHeight="1">
      <c r="A71" s="5">
        <f>IFERROR(__xludf.DUMMYFUNCTION("""COMPUTED_VALUE"""),250432.0)</f>
        <v>250432</v>
      </c>
      <c r="B71" s="5" t="str">
        <f>IFERROR(__xludf.DUMMYFUNCTION("""COMPUTED_VALUE"""),"渡邉朋香")</f>
        <v>渡邉朋香</v>
      </c>
      <c r="C71" s="5" t="str">
        <f>IFERROR(__xludf.DUMMYFUNCTION("""COMPUTED_VALUE"""),"わたなべともか")</f>
        <v>わたなべともか</v>
      </c>
      <c r="D71" s="5">
        <f>IFERROR(__xludf.DUMMYFUNCTION("""COMPUTED_VALUE"""),2.0)</f>
        <v>2</v>
      </c>
      <c r="E71" s="5" t="str">
        <f>IFERROR(__xludf.DUMMYFUNCTION("""COMPUTED_VALUE"""),"女")</f>
        <v>女</v>
      </c>
      <c r="F71" s="5" t="str">
        <f>IFERROR(__xludf.DUMMYFUNCTION("""COMPUTED_VALUE"""),"WUA")</f>
        <v>WUA</v>
      </c>
      <c r="G71" s="5" t="str">
        <f>IFERROR(__xludf.DUMMYFUNCTION("""COMPUTED_VALUE"""),"○出場")</f>
        <v>○出場</v>
      </c>
      <c r="H71" s="5">
        <f>IFERROR(__xludf.DUMMYFUNCTION("""COMPUTED_VALUE"""),525180.0)</f>
        <v>525180</v>
      </c>
      <c r="I71" s="5" t="str">
        <f>IFERROR(__xludf.DUMMYFUNCTION("""COMPUTED_VALUE"""),"○参加する")</f>
        <v>○参加する</v>
      </c>
      <c r="J71" s="5"/>
      <c r="K71" s="12">
        <f t="shared" si="2"/>
        <v>1</v>
      </c>
    </row>
    <row r="72" ht="19.5" customHeight="1">
      <c r="A72" s="5">
        <f>IFERROR(__xludf.DUMMYFUNCTION("""COMPUTED_VALUE"""),150401.0)</f>
        <v>150401</v>
      </c>
      <c r="B72" s="5" t="str">
        <f>IFERROR(__xludf.DUMMYFUNCTION("""COMPUTED_VALUE"""),"中嶋智桃")</f>
        <v>中嶋智桃</v>
      </c>
      <c r="C72" s="5" t="str">
        <f>IFERROR(__xludf.DUMMYFUNCTION("""COMPUTED_VALUE"""),"なかじまちもも")</f>
        <v>なかじまちもも</v>
      </c>
      <c r="D72" s="5">
        <f>IFERROR(__xludf.DUMMYFUNCTION("""COMPUTED_VALUE"""),3.0)</f>
        <v>3</v>
      </c>
      <c r="E72" s="5" t="str">
        <f>IFERROR(__xludf.DUMMYFUNCTION("""COMPUTED_VALUE"""),"女")</f>
        <v>女</v>
      </c>
      <c r="F72" s="5" t="str">
        <f>IFERROR(__xludf.DUMMYFUNCTION("""COMPUTED_VALUE"""),"×欠場")</f>
        <v>×欠場</v>
      </c>
      <c r="G72" s="5" t="str">
        <f>IFERROR(__xludf.DUMMYFUNCTION("""COMPUTED_VALUE"""),"×欠場")</f>
        <v>×欠場</v>
      </c>
      <c r="H72" s="5"/>
      <c r="I72" s="5" t="str">
        <f>IFERROR(__xludf.DUMMYFUNCTION("""COMPUTED_VALUE"""),"×参加しない")</f>
        <v>×参加しない</v>
      </c>
      <c r="J72" s="5"/>
      <c r="K72" s="12">
        <f t="shared" si="2"/>
        <v>0</v>
      </c>
    </row>
    <row r="73" ht="19.5" customHeight="1">
      <c r="A73" s="5">
        <f>IFERROR(__xludf.DUMMYFUNCTION("""COMPUTED_VALUE"""),150402.0)</f>
        <v>150402</v>
      </c>
      <c r="B73" s="5" t="str">
        <f>IFERROR(__xludf.DUMMYFUNCTION("""COMPUTED_VALUE"""),"浜口祐至")</f>
        <v>浜口祐至</v>
      </c>
      <c r="C73" s="5" t="str">
        <f>IFERROR(__xludf.DUMMYFUNCTION("""COMPUTED_VALUE"""),"はまぐちゆうじ")</f>
        <v>はまぐちゆうじ</v>
      </c>
      <c r="D73" s="5">
        <f>IFERROR(__xludf.DUMMYFUNCTION("""COMPUTED_VALUE"""),3.0)</f>
        <v>3</v>
      </c>
      <c r="E73" s="5" t="str">
        <f>IFERROR(__xludf.DUMMYFUNCTION("""COMPUTED_VALUE"""),"男")</f>
        <v>男</v>
      </c>
      <c r="F73" s="5" t="str">
        <f>IFERROR(__xludf.DUMMYFUNCTION("""COMPUTED_VALUE"""),"MUA")</f>
        <v>MUA</v>
      </c>
      <c r="G73" s="5" t="str">
        <f>IFERROR(__xludf.DUMMYFUNCTION("""COMPUTED_VALUE"""),"○出場")</f>
        <v>○出場</v>
      </c>
      <c r="H73" s="5">
        <f>IFERROR(__xludf.DUMMYFUNCTION("""COMPUTED_VALUE"""),519355.0)</f>
        <v>519355</v>
      </c>
      <c r="I73" s="5" t="str">
        <f>IFERROR(__xludf.DUMMYFUNCTION("""COMPUTED_VALUE"""),"○参加する")</f>
        <v>○参加する</v>
      </c>
      <c r="J73" s="5"/>
      <c r="K73" s="12">
        <f t="shared" si="2"/>
        <v>1</v>
      </c>
    </row>
    <row r="74" ht="19.5" customHeight="1">
      <c r="A74" s="5">
        <f>IFERROR(__xludf.DUMMYFUNCTION("""COMPUTED_VALUE"""),150404.0)</f>
        <v>150404</v>
      </c>
      <c r="B74" s="5" t="str">
        <f>IFERROR(__xludf.DUMMYFUNCTION("""COMPUTED_VALUE"""),"吉岡春樹")</f>
        <v>吉岡春樹</v>
      </c>
      <c r="C74" s="5" t="str">
        <f>IFERROR(__xludf.DUMMYFUNCTION("""COMPUTED_VALUE"""),"よしおかはるき")</f>
        <v>よしおかはるき</v>
      </c>
      <c r="D74" s="5">
        <f>IFERROR(__xludf.DUMMYFUNCTION("""COMPUTED_VALUE"""),3.0)</f>
        <v>3</v>
      </c>
      <c r="E74" s="5" t="str">
        <f>IFERROR(__xludf.DUMMYFUNCTION("""COMPUTED_VALUE"""),"男")</f>
        <v>男</v>
      </c>
      <c r="F74" s="5" t="str">
        <f>IFERROR(__xludf.DUMMYFUNCTION("""COMPUTED_VALUE"""),"×欠場")</f>
        <v>×欠場</v>
      </c>
      <c r="G74" s="5" t="str">
        <f>IFERROR(__xludf.DUMMYFUNCTION("""COMPUTED_VALUE"""),"×欠場")</f>
        <v>×欠場</v>
      </c>
      <c r="H74" s="5"/>
      <c r="I74" s="5" t="str">
        <f>IFERROR(__xludf.DUMMYFUNCTION("""COMPUTED_VALUE"""),"×参加しない")</f>
        <v>×参加しない</v>
      </c>
      <c r="J74" s="5"/>
      <c r="K74" s="12">
        <f t="shared" si="2"/>
        <v>0</v>
      </c>
    </row>
    <row r="75" ht="19.5" customHeight="1">
      <c r="A75" s="5">
        <f>IFERROR(__xludf.DUMMYFUNCTION("""COMPUTED_VALUE"""),150405.0)</f>
        <v>150405</v>
      </c>
      <c r="B75" s="5" t="str">
        <f>IFERROR(__xludf.DUMMYFUNCTION("""COMPUTED_VALUE"""),"高尾笙甫")</f>
        <v>高尾笙甫</v>
      </c>
      <c r="C75" s="5" t="str">
        <f>IFERROR(__xludf.DUMMYFUNCTION("""COMPUTED_VALUE"""),"たかおしょうほ")</f>
        <v>たかおしょうほ</v>
      </c>
      <c r="D75" s="5">
        <f>IFERROR(__xludf.DUMMYFUNCTION("""COMPUTED_VALUE"""),3.0)</f>
        <v>3</v>
      </c>
      <c r="E75" s="5" t="str">
        <f>IFERROR(__xludf.DUMMYFUNCTION("""COMPUTED_VALUE"""),"男")</f>
        <v>男</v>
      </c>
      <c r="F75" s="5" t="str">
        <f>IFERROR(__xludf.DUMMYFUNCTION("""COMPUTED_VALUE"""),"MUA")</f>
        <v>MUA</v>
      </c>
      <c r="G75" s="5" t="str">
        <f>IFERROR(__xludf.DUMMYFUNCTION("""COMPUTED_VALUE"""),"○出場")</f>
        <v>○出場</v>
      </c>
      <c r="H75" s="5"/>
      <c r="I75" s="5" t="str">
        <f>IFERROR(__xludf.DUMMYFUNCTION("""COMPUTED_VALUE"""),"○参加する")</f>
        <v>○参加する</v>
      </c>
      <c r="J75" s="5"/>
      <c r="K75" s="12">
        <f t="shared" si="2"/>
        <v>1</v>
      </c>
    </row>
    <row r="76" ht="19.5" customHeight="1">
      <c r="A76" s="5">
        <f>IFERROR(__xludf.DUMMYFUNCTION("""COMPUTED_VALUE"""),150406.0)</f>
        <v>150406</v>
      </c>
      <c r="B76" s="5" t="str">
        <f>IFERROR(__xludf.DUMMYFUNCTION("""COMPUTED_VALUE"""),"羽岡美紀")</f>
        <v>羽岡美紀</v>
      </c>
      <c r="C76" s="5" t="str">
        <f>IFERROR(__xludf.DUMMYFUNCTION("""COMPUTED_VALUE"""),"はおかみき")</f>
        <v>はおかみき</v>
      </c>
      <c r="D76" s="5">
        <f>IFERROR(__xludf.DUMMYFUNCTION("""COMPUTED_VALUE"""),3.0)</f>
        <v>3</v>
      </c>
      <c r="E76" s="5" t="str">
        <f>IFERROR(__xludf.DUMMYFUNCTION("""COMPUTED_VALUE"""),"女")</f>
        <v>女</v>
      </c>
      <c r="F76" s="5" t="str">
        <f>IFERROR(__xludf.DUMMYFUNCTION("""COMPUTED_VALUE"""),"WUA")</f>
        <v>WUA</v>
      </c>
      <c r="G76" s="5" t="str">
        <f>IFERROR(__xludf.DUMMYFUNCTION("""COMPUTED_VALUE"""),"○出場")</f>
        <v>○出場</v>
      </c>
      <c r="H76" s="5">
        <f>IFERROR(__xludf.DUMMYFUNCTION("""COMPUTED_VALUE"""),519419.0)</f>
        <v>519419</v>
      </c>
      <c r="I76" s="5" t="str">
        <f>IFERROR(__xludf.DUMMYFUNCTION("""COMPUTED_VALUE"""),"○参加する")</f>
        <v>○参加する</v>
      </c>
      <c r="J76" s="5"/>
      <c r="K76" s="12">
        <f t="shared" si="2"/>
        <v>1</v>
      </c>
    </row>
    <row r="77" ht="19.5" customHeight="1">
      <c r="A77" s="5">
        <f>IFERROR(__xludf.DUMMYFUNCTION("""COMPUTED_VALUE"""),150408.0)</f>
        <v>150408</v>
      </c>
      <c r="B77" s="5" t="str">
        <f>IFERROR(__xludf.DUMMYFUNCTION("""COMPUTED_VALUE"""),"角田和貴")</f>
        <v>角田和貴</v>
      </c>
      <c r="C77" s="5" t="str">
        <f>IFERROR(__xludf.DUMMYFUNCTION("""COMPUTED_VALUE"""),"つのだかずき")</f>
        <v>つのだかずき</v>
      </c>
      <c r="D77" s="5">
        <f>IFERROR(__xludf.DUMMYFUNCTION("""COMPUTED_VALUE"""),3.0)</f>
        <v>3</v>
      </c>
      <c r="E77" s="5" t="str">
        <f>IFERROR(__xludf.DUMMYFUNCTION("""COMPUTED_VALUE"""),"男")</f>
        <v>男</v>
      </c>
      <c r="F77" s="5" t="str">
        <f>IFERROR(__xludf.DUMMYFUNCTION("""COMPUTED_VALUE"""),"MUA")</f>
        <v>MUA</v>
      </c>
      <c r="G77" s="5" t="str">
        <f>IFERROR(__xludf.DUMMYFUNCTION("""COMPUTED_VALUE"""),"○出場")</f>
        <v>○出場</v>
      </c>
      <c r="H77" s="5">
        <f>IFERROR(__xludf.DUMMYFUNCTION("""COMPUTED_VALUE"""),525169.0)</f>
        <v>525169</v>
      </c>
      <c r="I77" s="5" t="str">
        <f>IFERROR(__xludf.DUMMYFUNCTION("""COMPUTED_VALUE"""),"○参加する")</f>
        <v>○参加する</v>
      </c>
      <c r="J77" s="5"/>
      <c r="K77" s="12">
        <f t="shared" si="2"/>
        <v>1</v>
      </c>
    </row>
    <row r="78" ht="19.5" customHeight="1">
      <c r="A78" s="5">
        <f>IFERROR(__xludf.DUMMYFUNCTION("""COMPUTED_VALUE"""),150410.0)</f>
        <v>150410</v>
      </c>
      <c r="B78" s="5" t="str">
        <f>IFERROR(__xludf.DUMMYFUNCTION("""COMPUTED_VALUE"""),"植田博貴")</f>
        <v>植田博貴</v>
      </c>
      <c r="C78" s="5" t="str">
        <f>IFERROR(__xludf.DUMMYFUNCTION("""COMPUTED_VALUE"""),"うえだひろき")</f>
        <v>うえだひろき</v>
      </c>
      <c r="D78" s="5">
        <f>IFERROR(__xludf.DUMMYFUNCTION("""COMPUTED_VALUE"""),3.0)</f>
        <v>3</v>
      </c>
      <c r="E78" s="5" t="str">
        <f>IFERROR(__xludf.DUMMYFUNCTION("""COMPUTED_VALUE"""),"男")</f>
        <v>男</v>
      </c>
      <c r="F78" s="5" t="str">
        <f>IFERROR(__xludf.DUMMYFUNCTION("""COMPUTED_VALUE"""),"MUA")</f>
        <v>MUA</v>
      </c>
      <c r="G78" s="5" t="str">
        <f>IFERROR(__xludf.DUMMYFUNCTION("""COMPUTED_VALUE"""),"○出場")</f>
        <v>○出場</v>
      </c>
      <c r="H78" s="5">
        <f>IFERROR(__xludf.DUMMYFUNCTION("""COMPUTED_VALUE"""),519354.0)</f>
        <v>519354</v>
      </c>
      <c r="I78" s="5" t="str">
        <f>IFERROR(__xludf.DUMMYFUNCTION("""COMPUTED_VALUE"""),"○参加する")</f>
        <v>○参加する</v>
      </c>
      <c r="J78" s="5"/>
      <c r="K78" s="12">
        <f t="shared" si="2"/>
        <v>1</v>
      </c>
    </row>
    <row r="79" ht="19.5" customHeight="1">
      <c r="A79" s="5">
        <f>IFERROR(__xludf.DUMMYFUNCTION("""COMPUTED_VALUE"""),150413.0)</f>
        <v>150413</v>
      </c>
      <c r="B79" s="5" t="str">
        <f>IFERROR(__xludf.DUMMYFUNCTION("""COMPUTED_VALUE"""),"日高綾音")</f>
        <v>日高綾音</v>
      </c>
      <c r="C79" s="5" t="str">
        <f>IFERROR(__xludf.DUMMYFUNCTION("""COMPUTED_VALUE"""),"ひたかあやね")</f>
        <v>ひたかあやね</v>
      </c>
      <c r="D79" s="5">
        <f>IFERROR(__xludf.DUMMYFUNCTION("""COMPUTED_VALUE"""),3.0)</f>
        <v>3</v>
      </c>
      <c r="E79" s="5" t="str">
        <f>IFERROR(__xludf.DUMMYFUNCTION("""COMPUTED_VALUE"""),"女")</f>
        <v>女</v>
      </c>
      <c r="F79" s="5" t="str">
        <f>IFERROR(__xludf.DUMMYFUNCTION("""COMPUTED_VALUE"""),"WUA")</f>
        <v>WUA</v>
      </c>
      <c r="G79" s="5" t="str">
        <f>IFERROR(__xludf.DUMMYFUNCTION("""COMPUTED_VALUE"""),"○出場")</f>
        <v>○出場</v>
      </c>
      <c r="H79" s="5">
        <f>IFERROR(__xludf.DUMMYFUNCTION("""COMPUTED_VALUE"""),519344.0)</f>
        <v>519344</v>
      </c>
      <c r="I79" s="5" t="str">
        <f>IFERROR(__xludf.DUMMYFUNCTION("""COMPUTED_VALUE"""),"○参加する")</f>
        <v>○参加する</v>
      </c>
      <c r="J79" s="5"/>
      <c r="K79" s="12">
        <f t="shared" si="2"/>
        <v>1</v>
      </c>
    </row>
    <row r="80" ht="19.5" customHeight="1">
      <c r="A80" s="5">
        <f>IFERROR(__xludf.DUMMYFUNCTION("""COMPUTED_VALUE"""),150414.0)</f>
        <v>150414</v>
      </c>
      <c r="B80" s="5" t="str">
        <f>IFERROR(__xludf.DUMMYFUNCTION("""COMPUTED_VALUE"""),"玉木林哉")</f>
        <v>玉木林哉</v>
      </c>
      <c r="C80" s="5" t="str">
        <f>IFERROR(__xludf.DUMMYFUNCTION("""COMPUTED_VALUE"""),"たまきりんや")</f>
        <v>たまきりんや</v>
      </c>
      <c r="D80" s="5">
        <f>IFERROR(__xludf.DUMMYFUNCTION("""COMPUTED_VALUE"""),3.0)</f>
        <v>3</v>
      </c>
      <c r="E80" s="5" t="str">
        <f>IFERROR(__xludf.DUMMYFUNCTION("""COMPUTED_VALUE"""),"男")</f>
        <v>男</v>
      </c>
      <c r="F80" s="5" t="str">
        <f>IFERROR(__xludf.DUMMYFUNCTION("""COMPUTED_VALUE"""),"MUA")</f>
        <v>MUA</v>
      </c>
      <c r="G80" s="5" t="str">
        <f>IFERROR(__xludf.DUMMYFUNCTION("""COMPUTED_VALUE"""),"○出場")</f>
        <v>○出場</v>
      </c>
      <c r="H80" s="5"/>
      <c r="I80" s="5" t="str">
        <f>IFERROR(__xludf.DUMMYFUNCTION("""COMPUTED_VALUE"""),"○参加する")</f>
        <v>○参加する</v>
      </c>
      <c r="J80" s="5"/>
      <c r="K80" s="12">
        <f t="shared" si="2"/>
        <v>1</v>
      </c>
    </row>
    <row r="81" ht="19.5" customHeight="1">
      <c r="A81" s="5">
        <f>IFERROR(__xludf.DUMMYFUNCTION("""COMPUTED_VALUE"""),150415.0)</f>
        <v>150415</v>
      </c>
      <c r="B81" s="5" t="str">
        <f>IFERROR(__xludf.DUMMYFUNCTION("""COMPUTED_VALUE"""),"山本裕")</f>
        <v>山本裕</v>
      </c>
      <c r="C81" s="5" t="str">
        <f>IFERROR(__xludf.DUMMYFUNCTION("""COMPUTED_VALUE"""),"やまもとゆたか")</f>
        <v>やまもとゆたか</v>
      </c>
      <c r="D81" s="5">
        <f>IFERROR(__xludf.DUMMYFUNCTION("""COMPUTED_VALUE"""),3.0)</f>
        <v>3</v>
      </c>
      <c r="E81" s="5" t="str">
        <f>IFERROR(__xludf.DUMMYFUNCTION("""COMPUTED_VALUE"""),"男")</f>
        <v>男</v>
      </c>
      <c r="F81" s="5" t="str">
        <f>IFERROR(__xludf.DUMMYFUNCTION("""COMPUTED_VALUE"""),"×欠場")</f>
        <v>×欠場</v>
      </c>
      <c r="G81" s="5" t="str">
        <f>IFERROR(__xludf.DUMMYFUNCTION("""COMPUTED_VALUE"""),"×欠場")</f>
        <v>×欠場</v>
      </c>
      <c r="H81" s="5"/>
      <c r="I81" s="5" t="str">
        <f>IFERROR(__xludf.DUMMYFUNCTION("""COMPUTED_VALUE"""),"×参加しない")</f>
        <v>×参加しない</v>
      </c>
      <c r="J81" s="5"/>
      <c r="K81" s="12">
        <f t="shared" si="2"/>
        <v>0</v>
      </c>
    </row>
    <row r="82" ht="19.5" customHeight="1">
      <c r="A82" s="5">
        <f>IFERROR(__xludf.DUMMYFUNCTION("""COMPUTED_VALUE"""),150419.0)</f>
        <v>150419</v>
      </c>
      <c r="B82" s="5" t="str">
        <f>IFERROR(__xludf.DUMMYFUNCTION("""COMPUTED_VALUE"""),"石原潮人")</f>
        <v>石原潮人</v>
      </c>
      <c r="C82" s="5" t="str">
        <f>IFERROR(__xludf.DUMMYFUNCTION("""COMPUTED_VALUE"""),"いしはらしおと")</f>
        <v>いしはらしおと</v>
      </c>
      <c r="D82" s="5">
        <f>IFERROR(__xludf.DUMMYFUNCTION("""COMPUTED_VALUE"""),3.0)</f>
        <v>3</v>
      </c>
      <c r="E82" s="5" t="str">
        <f>IFERROR(__xludf.DUMMYFUNCTION("""COMPUTED_VALUE"""),"男")</f>
        <v>男</v>
      </c>
      <c r="F82" s="5" t="str">
        <f>IFERROR(__xludf.DUMMYFUNCTION("""COMPUTED_VALUE"""),"MUA")</f>
        <v>MUA</v>
      </c>
      <c r="G82" s="5" t="str">
        <f>IFERROR(__xludf.DUMMYFUNCTION("""COMPUTED_VALUE"""),"○出場")</f>
        <v>○出場</v>
      </c>
      <c r="H82" s="5">
        <f>IFERROR(__xludf.DUMMYFUNCTION("""COMPUTED_VALUE"""),519340.0)</f>
        <v>519340</v>
      </c>
      <c r="I82" s="5" t="str">
        <f>IFERROR(__xludf.DUMMYFUNCTION("""COMPUTED_VALUE"""),"○参加する")</f>
        <v>○参加する</v>
      </c>
      <c r="J82" s="5"/>
      <c r="K82" s="12">
        <f t="shared" si="2"/>
        <v>1</v>
      </c>
    </row>
    <row r="83" ht="19.5" customHeight="1">
      <c r="A83" s="5">
        <f>IFERROR(__xludf.DUMMYFUNCTION("""COMPUTED_VALUE"""),150420.0)</f>
        <v>150420</v>
      </c>
      <c r="B83" s="5" t="str">
        <f>IFERROR(__xludf.DUMMYFUNCTION("""COMPUTED_VALUE"""),"毛利智紀")</f>
        <v>毛利智紀</v>
      </c>
      <c r="C83" s="5" t="str">
        <f>IFERROR(__xludf.DUMMYFUNCTION("""COMPUTED_VALUE"""),"もうりともき")</f>
        <v>もうりともき</v>
      </c>
      <c r="D83" s="5">
        <f>IFERROR(__xludf.DUMMYFUNCTION("""COMPUTED_VALUE"""),3.0)</f>
        <v>3</v>
      </c>
      <c r="E83" s="5" t="str">
        <f>IFERROR(__xludf.DUMMYFUNCTION("""COMPUTED_VALUE"""),"男")</f>
        <v>男</v>
      </c>
      <c r="F83" s="5" t="str">
        <f>IFERROR(__xludf.DUMMYFUNCTION("""COMPUTED_VALUE"""),"MUA")</f>
        <v>MUA</v>
      </c>
      <c r="G83" s="5" t="str">
        <f>IFERROR(__xludf.DUMMYFUNCTION("""COMPUTED_VALUE"""),"○出場")</f>
        <v>○出場</v>
      </c>
      <c r="H83" s="5">
        <f>IFERROR(__xludf.DUMMYFUNCTION("""COMPUTED_VALUE"""),519339.0)</f>
        <v>519339</v>
      </c>
      <c r="I83" s="5" t="str">
        <f>IFERROR(__xludf.DUMMYFUNCTION("""COMPUTED_VALUE"""),"○参加する")</f>
        <v>○参加する</v>
      </c>
      <c r="J83" s="5"/>
      <c r="K83" s="12">
        <f t="shared" si="2"/>
        <v>1</v>
      </c>
    </row>
    <row r="84" ht="19.5" customHeight="1">
      <c r="A84" s="5">
        <f>IFERROR(__xludf.DUMMYFUNCTION("""COMPUTED_VALUE"""),150422.0)</f>
        <v>150422</v>
      </c>
      <c r="B84" s="5" t="str">
        <f>IFERROR(__xludf.DUMMYFUNCTION("""COMPUTED_VALUE"""),"田中優")</f>
        <v>田中優</v>
      </c>
      <c r="C84" s="5" t="str">
        <f>IFERROR(__xludf.DUMMYFUNCTION("""COMPUTED_VALUE"""),"たなかゆう")</f>
        <v>たなかゆう</v>
      </c>
      <c r="D84" s="5">
        <f>IFERROR(__xludf.DUMMYFUNCTION("""COMPUTED_VALUE"""),3.0)</f>
        <v>3</v>
      </c>
      <c r="E84" s="5" t="str">
        <f>IFERROR(__xludf.DUMMYFUNCTION("""COMPUTED_VALUE"""),"男")</f>
        <v>男</v>
      </c>
      <c r="F84" s="5" t="str">
        <f>IFERROR(__xludf.DUMMYFUNCTION("""COMPUTED_VALUE"""),"MUA")</f>
        <v>MUA</v>
      </c>
      <c r="G84" s="5" t="str">
        <f>IFERROR(__xludf.DUMMYFUNCTION("""COMPUTED_VALUE"""),"○出場")</f>
        <v>○出場</v>
      </c>
      <c r="H84" s="5">
        <f>IFERROR(__xludf.DUMMYFUNCTION("""COMPUTED_VALUE"""),519341.0)</f>
        <v>519341</v>
      </c>
      <c r="I84" s="5" t="str">
        <f>IFERROR(__xludf.DUMMYFUNCTION("""COMPUTED_VALUE"""),"○参加する")</f>
        <v>○参加する</v>
      </c>
      <c r="J84" s="5"/>
      <c r="K84" s="12">
        <f t="shared" si="2"/>
        <v>1</v>
      </c>
    </row>
    <row r="85" ht="19.5" customHeight="1">
      <c r="A85" s="5">
        <f>IFERROR(__xludf.DUMMYFUNCTION("""COMPUTED_VALUE"""),150428.0)</f>
        <v>150428</v>
      </c>
      <c r="B85" s="5" t="str">
        <f>IFERROR(__xludf.DUMMYFUNCTION("""COMPUTED_VALUE"""),"四宮裕一朗")</f>
        <v>四宮裕一朗</v>
      </c>
      <c r="C85" s="5" t="str">
        <f>IFERROR(__xludf.DUMMYFUNCTION("""COMPUTED_VALUE"""),"しのみやゆういちろう")</f>
        <v>しのみやゆういちろう</v>
      </c>
      <c r="D85" s="5">
        <f>IFERROR(__xludf.DUMMYFUNCTION("""COMPUTED_VALUE"""),3.0)</f>
        <v>3</v>
      </c>
      <c r="E85" s="5" t="str">
        <f>IFERROR(__xludf.DUMMYFUNCTION("""COMPUTED_VALUE"""),"男")</f>
        <v>男</v>
      </c>
      <c r="F85" s="5" t="str">
        <f>IFERROR(__xludf.DUMMYFUNCTION("""COMPUTED_VALUE"""),"MUA")</f>
        <v>MUA</v>
      </c>
      <c r="G85" s="5" t="str">
        <f>IFERROR(__xludf.DUMMYFUNCTION("""COMPUTED_VALUE"""),"○出場")</f>
        <v>○出場</v>
      </c>
      <c r="H85" s="5">
        <f>IFERROR(__xludf.DUMMYFUNCTION("""COMPUTED_VALUE"""),519335.0)</f>
        <v>519335</v>
      </c>
      <c r="I85" s="5" t="str">
        <f>IFERROR(__xludf.DUMMYFUNCTION("""COMPUTED_VALUE"""),"○参加する")</f>
        <v>○参加する</v>
      </c>
      <c r="J85" s="5"/>
      <c r="K85" s="12">
        <f t="shared" si="2"/>
        <v>1</v>
      </c>
    </row>
    <row r="86" ht="19.5" customHeight="1">
      <c r="A86" s="5">
        <f>IFERROR(__xludf.DUMMYFUNCTION("""COMPUTED_VALUE"""),150432.0)</f>
        <v>150432</v>
      </c>
      <c r="B86" s="5" t="str">
        <f>IFERROR(__xludf.DUMMYFUNCTION("""COMPUTED_VALUE"""),"張宇威")</f>
        <v>張宇威</v>
      </c>
      <c r="C86" s="5" t="str">
        <f>IFERROR(__xludf.DUMMYFUNCTION("""COMPUTED_VALUE"""),"ちょううい")</f>
        <v>ちょううい</v>
      </c>
      <c r="D86" s="5">
        <f>IFERROR(__xludf.DUMMYFUNCTION("""COMPUTED_VALUE"""),3.0)</f>
        <v>3</v>
      </c>
      <c r="E86" s="5" t="str">
        <f>IFERROR(__xludf.DUMMYFUNCTION("""COMPUTED_VALUE"""),"男")</f>
        <v>男</v>
      </c>
      <c r="F86" s="5" t="str">
        <f>IFERROR(__xludf.DUMMYFUNCTION("""COMPUTED_VALUE"""),"×欠場")</f>
        <v>×欠場</v>
      </c>
      <c r="G86" s="5" t="str">
        <f>IFERROR(__xludf.DUMMYFUNCTION("""COMPUTED_VALUE"""),"×欠場")</f>
        <v>×欠場</v>
      </c>
      <c r="H86" s="5"/>
      <c r="I86" s="5" t="str">
        <f>IFERROR(__xludf.DUMMYFUNCTION("""COMPUTED_VALUE"""),"×参加しない")</f>
        <v>×参加しない</v>
      </c>
      <c r="J86" s="5"/>
      <c r="K86" s="12">
        <f t="shared" si="2"/>
        <v>0</v>
      </c>
    </row>
    <row r="87" ht="19.5" customHeight="1">
      <c r="A87" s="5">
        <f>IFERROR(__xludf.DUMMYFUNCTION("""COMPUTED_VALUE"""),150434.0)</f>
        <v>150434</v>
      </c>
      <c r="B87" s="5" t="str">
        <f>IFERROR(__xludf.DUMMYFUNCTION("""COMPUTED_VALUE"""),"大道樹")</f>
        <v>大道樹</v>
      </c>
      <c r="C87" s="5" t="str">
        <f>IFERROR(__xludf.DUMMYFUNCTION("""COMPUTED_VALUE"""),"おおみちいつき")</f>
        <v>おおみちいつき</v>
      </c>
      <c r="D87" s="5">
        <f>IFERROR(__xludf.DUMMYFUNCTION("""COMPUTED_VALUE"""),3.0)</f>
        <v>3</v>
      </c>
      <c r="E87" s="5" t="str">
        <f>IFERROR(__xludf.DUMMYFUNCTION("""COMPUTED_VALUE"""),"男")</f>
        <v>男</v>
      </c>
      <c r="F87" s="5" t="str">
        <f>IFERROR(__xludf.DUMMYFUNCTION("""COMPUTED_VALUE"""),"×欠場")</f>
        <v>×欠場</v>
      </c>
      <c r="G87" s="5" t="str">
        <f>IFERROR(__xludf.DUMMYFUNCTION("""COMPUTED_VALUE"""),"×欠場")</f>
        <v>×欠場</v>
      </c>
      <c r="H87" s="5"/>
      <c r="I87" s="5" t="str">
        <f>IFERROR(__xludf.DUMMYFUNCTION("""COMPUTED_VALUE"""),"×参加しない")</f>
        <v>×参加しない</v>
      </c>
      <c r="J87" s="5"/>
      <c r="K87" s="12">
        <f t="shared" si="2"/>
        <v>0</v>
      </c>
    </row>
    <row r="88" ht="19.5" customHeight="1">
      <c r="A88" s="5">
        <f>IFERROR(__xludf.DUMMYFUNCTION("""COMPUTED_VALUE"""),150436.0)</f>
        <v>150436</v>
      </c>
      <c r="B88" s="5" t="str">
        <f>IFERROR(__xludf.DUMMYFUNCTION("""COMPUTED_VALUE"""),"谷口直弥")</f>
        <v>谷口直弥</v>
      </c>
      <c r="C88" s="5" t="str">
        <f>IFERROR(__xludf.DUMMYFUNCTION("""COMPUTED_VALUE"""),"たにぐちなおや")</f>
        <v>たにぐちなおや</v>
      </c>
      <c r="D88" s="5">
        <f>IFERROR(__xludf.DUMMYFUNCTION("""COMPUTED_VALUE"""),3.0)</f>
        <v>3</v>
      </c>
      <c r="E88" s="5" t="str">
        <f>IFERROR(__xludf.DUMMYFUNCTION("""COMPUTED_VALUE"""),"男")</f>
        <v>男</v>
      </c>
      <c r="F88" s="5" t="str">
        <f>IFERROR(__xludf.DUMMYFUNCTION("""COMPUTED_VALUE"""),"MUA")</f>
        <v>MUA</v>
      </c>
      <c r="G88" s="5" t="str">
        <f>IFERROR(__xludf.DUMMYFUNCTION("""COMPUTED_VALUE"""),"○出場")</f>
        <v>○出場</v>
      </c>
      <c r="H88" s="5">
        <f>IFERROR(__xludf.DUMMYFUNCTION("""COMPUTED_VALUE"""),525179.0)</f>
        <v>525179</v>
      </c>
      <c r="I88" s="5" t="str">
        <f>IFERROR(__xludf.DUMMYFUNCTION("""COMPUTED_VALUE"""),"○参加する")</f>
        <v>○参加する</v>
      </c>
      <c r="J88" s="5"/>
      <c r="K88" s="12">
        <f t="shared" si="2"/>
        <v>1</v>
      </c>
    </row>
    <row r="89" ht="19.5" customHeight="1">
      <c r="A89" s="5">
        <f>IFERROR(__xludf.DUMMYFUNCTION("""COMPUTED_VALUE"""),150437.0)</f>
        <v>150437</v>
      </c>
      <c r="B89" s="5" t="str">
        <f>IFERROR(__xludf.DUMMYFUNCTION("""COMPUTED_VALUE"""),"井岡亜優")</f>
        <v>井岡亜優</v>
      </c>
      <c r="C89" s="5" t="str">
        <f>IFERROR(__xludf.DUMMYFUNCTION("""COMPUTED_VALUE"""),"いおかあゆ")</f>
        <v>いおかあゆ</v>
      </c>
      <c r="D89" s="5">
        <f>IFERROR(__xludf.DUMMYFUNCTION("""COMPUTED_VALUE"""),3.0)</f>
        <v>3</v>
      </c>
      <c r="E89" s="5" t="str">
        <f>IFERROR(__xludf.DUMMYFUNCTION("""COMPUTED_VALUE"""),"女")</f>
        <v>女</v>
      </c>
      <c r="F89" s="5" t="str">
        <f>IFERROR(__xludf.DUMMYFUNCTION("""COMPUTED_VALUE"""),"×欠場")</f>
        <v>×欠場</v>
      </c>
      <c r="G89" s="5" t="str">
        <f>IFERROR(__xludf.DUMMYFUNCTION("""COMPUTED_VALUE"""),"×欠場")</f>
        <v>×欠場</v>
      </c>
      <c r="H89" s="5"/>
      <c r="I89" s="5" t="str">
        <f>IFERROR(__xludf.DUMMYFUNCTION("""COMPUTED_VALUE"""),"×参加しない")</f>
        <v>×参加しない</v>
      </c>
      <c r="J89" s="5"/>
      <c r="K89" s="12">
        <f t="shared" si="2"/>
        <v>0</v>
      </c>
    </row>
    <row r="90" ht="19.5" customHeight="1">
      <c r="A90" s="5">
        <f>IFERROR(__xludf.DUMMYFUNCTION("""COMPUTED_VALUE"""),150438.0)</f>
        <v>150438</v>
      </c>
      <c r="B90" s="5" t="str">
        <f>IFERROR(__xludf.DUMMYFUNCTION("""COMPUTED_VALUE"""),"淺野瑞妃")</f>
        <v>淺野瑞妃</v>
      </c>
      <c r="C90" s="5" t="str">
        <f>IFERROR(__xludf.DUMMYFUNCTION("""COMPUTED_VALUE"""),"あさのみずき")</f>
        <v>あさのみずき</v>
      </c>
      <c r="D90" s="5">
        <f>IFERROR(__xludf.DUMMYFUNCTION("""COMPUTED_VALUE"""),3.0)</f>
        <v>3</v>
      </c>
      <c r="E90" s="5" t="str">
        <f>IFERROR(__xludf.DUMMYFUNCTION("""COMPUTED_VALUE"""),"女")</f>
        <v>女</v>
      </c>
      <c r="F90" s="5" t="str">
        <f>IFERROR(__xludf.DUMMYFUNCTION("""COMPUTED_VALUE"""),"×欠場")</f>
        <v>×欠場</v>
      </c>
      <c r="G90" s="5" t="str">
        <f>IFERROR(__xludf.DUMMYFUNCTION("""COMPUTED_VALUE"""),"×欠場")</f>
        <v>×欠場</v>
      </c>
      <c r="H90" s="5"/>
      <c r="I90" s="5" t="str">
        <f>IFERROR(__xludf.DUMMYFUNCTION("""COMPUTED_VALUE"""),"×参加しない")</f>
        <v>×参加しない</v>
      </c>
      <c r="J90" s="5"/>
      <c r="K90" s="12">
        <f t="shared" si="2"/>
        <v>0</v>
      </c>
    </row>
    <row r="91" ht="19.5" customHeight="1">
      <c r="A91" s="5">
        <f>IFERROR(__xludf.DUMMYFUNCTION("""COMPUTED_VALUE"""),150439.0)</f>
        <v>150439</v>
      </c>
      <c r="B91" s="5" t="str">
        <f>IFERROR(__xludf.DUMMYFUNCTION("""COMPUTED_VALUE"""),"林洸樹")</f>
        <v>林洸樹</v>
      </c>
      <c r="C91" s="5" t="str">
        <f>IFERROR(__xludf.DUMMYFUNCTION("""COMPUTED_VALUE"""),"はやしこうき")</f>
        <v>はやしこうき</v>
      </c>
      <c r="D91" s="5">
        <f>IFERROR(__xludf.DUMMYFUNCTION("""COMPUTED_VALUE"""),3.0)</f>
        <v>3</v>
      </c>
      <c r="E91" s="5" t="str">
        <f>IFERROR(__xludf.DUMMYFUNCTION("""COMPUTED_VALUE"""),"男")</f>
        <v>男</v>
      </c>
      <c r="F91" s="5" t="str">
        <f>IFERROR(__xludf.DUMMYFUNCTION("""COMPUTED_VALUE"""),"×欠場")</f>
        <v>×欠場</v>
      </c>
      <c r="G91" s="5" t="str">
        <f>IFERROR(__xludf.DUMMYFUNCTION("""COMPUTED_VALUE"""),"×欠場")</f>
        <v>×欠場</v>
      </c>
      <c r="H91" s="5"/>
      <c r="I91" s="5" t="str">
        <f>IFERROR(__xludf.DUMMYFUNCTION("""COMPUTED_VALUE"""),"×参加しない")</f>
        <v>×参加しない</v>
      </c>
      <c r="J91" s="5"/>
      <c r="K91" s="12">
        <f t="shared" si="2"/>
        <v>0</v>
      </c>
    </row>
    <row r="92" ht="19.5" customHeight="1">
      <c r="A92" s="5">
        <f>IFERROR(__xludf.DUMMYFUNCTION("""COMPUTED_VALUE"""),150444.0)</f>
        <v>150444</v>
      </c>
      <c r="B92" s="5" t="str">
        <f>IFERROR(__xludf.DUMMYFUNCTION("""COMPUTED_VALUE"""),"角本柚香")</f>
        <v>角本柚香</v>
      </c>
      <c r="C92" s="5" t="str">
        <f>IFERROR(__xludf.DUMMYFUNCTION("""COMPUTED_VALUE"""),"かどもとゆか")</f>
        <v>かどもとゆか</v>
      </c>
      <c r="D92" s="5">
        <f>IFERROR(__xludf.DUMMYFUNCTION("""COMPUTED_VALUE"""),3.0)</f>
        <v>3</v>
      </c>
      <c r="E92" s="5" t="str">
        <f>IFERROR(__xludf.DUMMYFUNCTION("""COMPUTED_VALUE"""),"女")</f>
        <v>女</v>
      </c>
      <c r="F92" s="5" t="str">
        <f>IFERROR(__xludf.DUMMYFUNCTION("""COMPUTED_VALUE"""),"WUA")</f>
        <v>WUA</v>
      </c>
      <c r="G92" s="5" t="str">
        <f>IFERROR(__xludf.DUMMYFUNCTION("""COMPUTED_VALUE"""),"○出場")</f>
        <v>○出場</v>
      </c>
      <c r="H92" s="5">
        <f>IFERROR(__xludf.DUMMYFUNCTION("""COMPUTED_VALUE"""),519353.0)</f>
        <v>519353</v>
      </c>
      <c r="I92" s="5" t="str">
        <f>IFERROR(__xludf.DUMMYFUNCTION("""COMPUTED_VALUE"""),"○参加する")</f>
        <v>○参加する</v>
      </c>
      <c r="J92" s="5"/>
      <c r="K92" s="12">
        <f t="shared" si="2"/>
        <v>1</v>
      </c>
    </row>
    <row r="93" ht="19.5" customHeight="1">
      <c r="A93" s="5">
        <f>IFERROR(__xludf.DUMMYFUNCTION("""COMPUTED_VALUE"""),50403.0)</f>
        <v>50403</v>
      </c>
      <c r="B93" s="5" t="str">
        <f>IFERROR(__xludf.DUMMYFUNCTION("""COMPUTED_VALUE"""),"清水 捷生")</f>
        <v>清水 捷生</v>
      </c>
      <c r="C93" s="5" t="str">
        <f>IFERROR(__xludf.DUMMYFUNCTION("""COMPUTED_VALUE"""),"しみず はやお")</f>
        <v>しみず はやお</v>
      </c>
      <c r="D93" s="5">
        <f>IFERROR(__xludf.DUMMYFUNCTION("""COMPUTED_VALUE"""),4.0)</f>
        <v>4</v>
      </c>
      <c r="E93" s="5" t="str">
        <f>IFERROR(__xludf.DUMMYFUNCTION("""COMPUTED_VALUE"""),"男")</f>
        <v>男</v>
      </c>
      <c r="F93" s="5" t="str">
        <f>IFERROR(__xludf.DUMMYFUNCTION("""COMPUTED_VALUE"""),"×欠場")</f>
        <v>×欠場</v>
      </c>
      <c r="G93" s="5" t="str">
        <f>IFERROR(__xludf.DUMMYFUNCTION("""COMPUTED_VALUE"""),"×欠場")</f>
        <v>×欠場</v>
      </c>
      <c r="H93" s="5"/>
      <c r="I93" s="5" t="str">
        <f>IFERROR(__xludf.DUMMYFUNCTION("""COMPUTED_VALUE"""),"×参加しない")</f>
        <v>×参加しない</v>
      </c>
      <c r="J93" s="5"/>
      <c r="K93" s="12">
        <f t="shared" si="2"/>
        <v>0</v>
      </c>
    </row>
    <row r="94" ht="19.5" customHeight="1">
      <c r="A94" s="5">
        <f>IFERROR(__xludf.DUMMYFUNCTION("""COMPUTED_VALUE"""),50404.0)</f>
        <v>50404</v>
      </c>
      <c r="B94" s="5" t="str">
        <f>IFERROR(__xludf.DUMMYFUNCTION("""COMPUTED_VALUE"""),"岩瀬 晴生")</f>
        <v>岩瀬 晴生</v>
      </c>
      <c r="C94" s="5" t="str">
        <f>IFERROR(__xludf.DUMMYFUNCTION("""COMPUTED_VALUE"""),"いわせ はるき")</f>
        <v>いわせ はるき</v>
      </c>
      <c r="D94" s="5">
        <f>IFERROR(__xludf.DUMMYFUNCTION("""COMPUTED_VALUE"""),4.0)</f>
        <v>4</v>
      </c>
      <c r="E94" s="5" t="str">
        <f>IFERROR(__xludf.DUMMYFUNCTION("""COMPUTED_VALUE"""),"男")</f>
        <v>男</v>
      </c>
      <c r="F94" s="5" t="str">
        <f>IFERROR(__xludf.DUMMYFUNCTION("""COMPUTED_VALUE"""),"×欠場")</f>
        <v>×欠場</v>
      </c>
      <c r="G94" s="5" t="str">
        <f>IFERROR(__xludf.DUMMYFUNCTION("""COMPUTED_VALUE"""),"×欠場")</f>
        <v>×欠場</v>
      </c>
      <c r="H94" s="5"/>
      <c r="I94" s="5" t="str">
        <f>IFERROR(__xludf.DUMMYFUNCTION("""COMPUTED_VALUE"""),"×参加しない")</f>
        <v>×参加しない</v>
      </c>
      <c r="J94" s="5"/>
      <c r="K94" s="12">
        <f t="shared" si="2"/>
        <v>0</v>
      </c>
    </row>
    <row r="95" ht="19.5" customHeight="1">
      <c r="A95" s="5">
        <f>IFERROR(__xludf.DUMMYFUNCTION("""COMPUTED_VALUE"""),50405.0)</f>
        <v>50405</v>
      </c>
      <c r="B95" s="5" t="str">
        <f>IFERROR(__xludf.DUMMYFUNCTION("""COMPUTED_VALUE"""),"中村 昂陽")</f>
        <v>中村 昂陽</v>
      </c>
      <c r="C95" s="5" t="str">
        <f>IFERROR(__xludf.DUMMYFUNCTION("""COMPUTED_VALUE"""),"なかむら こうよう")</f>
        <v>なかむら こうよう</v>
      </c>
      <c r="D95" s="5">
        <f>IFERROR(__xludf.DUMMYFUNCTION("""COMPUTED_VALUE"""),4.0)</f>
        <v>4</v>
      </c>
      <c r="E95" s="5" t="str">
        <f>IFERROR(__xludf.DUMMYFUNCTION("""COMPUTED_VALUE"""),"男")</f>
        <v>男</v>
      </c>
      <c r="F95" s="5" t="str">
        <f>IFERROR(__xludf.DUMMYFUNCTION("""COMPUTED_VALUE"""),"MUA")</f>
        <v>MUA</v>
      </c>
      <c r="G95" s="5" t="str">
        <f>IFERROR(__xludf.DUMMYFUNCTION("""COMPUTED_VALUE"""),"○出場")</f>
        <v>○出場</v>
      </c>
      <c r="H95" s="5">
        <f>IFERROR(__xludf.DUMMYFUNCTION("""COMPUTED_VALUE"""),519351.0)</f>
        <v>519351</v>
      </c>
      <c r="I95" s="5" t="str">
        <f>IFERROR(__xludf.DUMMYFUNCTION("""COMPUTED_VALUE"""),"×参加しない")</f>
        <v>×参加しない</v>
      </c>
      <c r="J95" s="5"/>
      <c r="K95" s="12">
        <f t="shared" si="2"/>
        <v>1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1864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9</v>
      </c>
      <c r="E4" s="7">
        <f t="shared" ref="E4:E6" si="1">C4*D4</f>
        <v>76500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2</v>
      </c>
      <c r="E5" s="7">
        <f t="shared" si="1"/>
        <v>16000</v>
      </c>
    </row>
    <row r="6" ht="19.5" customHeight="1">
      <c r="A6" s="2" t="s">
        <v>9</v>
      </c>
      <c r="B6" s="4"/>
      <c r="C6" s="7">
        <v>32700.0</v>
      </c>
      <c r="D6" s="5">
        <f>D4+D5</f>
        <v>11</v>
      </c>
      <c r="E6" s="7">
        <f t="shared" si="1"/>
        <v>359700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2</v>
      </c>
      <c r="E7" s="7">
        <f>C7*D7/6*4</f>
        <v>6000</v>
      </c>
      <c r="F7" s="47" t="s">
        <v>2319</v>
      </c>
    </row>
    <row r="8" ht="19.5" customHeight="1">
      <c r="A8" s="2" t="s">
        <v>11</v>
      </c>
      <c r="B8" s="4"/>
      <c r="C8" s="7">
        <v>500.0</v>
      </c>
      <c r="D8" s="5">
        <f>D4-COUNT(H14:H201)</f>
        <v>4</v>
      </c>
      <c r="E8" s="7">
        <f>C8*D8</f>
        <v>2000</v>
      </c>
    </row>
    <row r="9" ht="19.5" customHeight="1">
      <c r="A9" s="9"/>
      <c r="B9" s="9"/>
      <c r="C9" s="9"/>
      <c r="D9" s="10" t="s">
        <v>5</v>
      </c>
      <c r="E9" s="11">
        <f>SUM(E4:E8)</f>
        <v>460200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IFERROR(__xludf.DUMMYFUNCTION("FILTER('個人別エントリー'!C2:L1018,'個人別エントリー'!B2:B1018=A1)"),350601.0)</f>
        <v>350601</v>
      </c>
      <c r="B14" s="5" t="str">
        <f>IFERROR(__xludf.DUMMYFUNCTION("""COMPUTED_VALUE"""),"穐田大吾郎")</f>
        <v>穐田大吾郎</v>
      </c>
      <c r="C14" s="5" t="str">
        <f>IFERROR(__xludf.DUMMYFUNCTION("""COMPUTED_VALUE"""),"あきただいごろう")</f>
        <v>あきただいごろう</v>
      </c>
      <c r="D14" s="5">
        <f>IFERROR(__xludf.DUMMYFUNCTION("""COMPUTED_VALUE"""),1.0)</f>
        <v>1</v>
      </c>
      <c r="E14" s="5" t="str">
        <f>IFERROR(__xludf.DUMMYFUNCTION("""COMPUTED_VALUE"""),"男")</f>
        <v>男</v>
      </c>
      <c r="F14" s="5" t="str">
        <f>IFERROR(__xludf.DUMMYFUNCTION("""COMPUTED_VALUE"""),"×欠場")</f>
        <v>×欠場</v>
      </c>
      <c r="G14" s="5" t="str">
        <f>IFERROR(__xludf.DUMMYFUNCTION("""COMPUTED_VALUE"""),"×欠場")</f>
        <v>×欠場</v>
      </c>
      <c r="H14" s="5"/>
      <c r="I14" s="5" t="str">
        <f>IFERROR(__xludf.DUMMYFUNCTION("""COMPUTED_VALUE"""),"×参加しない")</f>
        <v>×参加しない</v>
      </c>
      <c r="J14" s="5"/>
      <c r="K14" s="12">
        <f t="shared" ref="K14:K201" si="2">IF(AND(OR(F14="×欠場",F14=""),OR(G14="×欠場",G14="")),0,1)</f>
        <v>0</v>
      </c>
      <c r="M14" s="5" t="str">
        <f>IFERROR(__xludf.DUMMYFUNCTION("FILTER('リレー内容'!$C$2:$K$51,'リレー内容'!$B$2:$B$51=A1)"),"○出場")</f>
        <v>○出場</v>
      </c>
      <c r="N14" s="5" t="str">
        <f>IFERROR(__xludf.DUMMYFUNCTION("""COMPUTED_VALUE"""),"○出場")</f>
        <v>○出場</v>
      </c>
      <c r="O14" s="5">
        <f>IFERROR(__xludf.DUMMYFUNCTION("""COMPUTED_VALUE"""),1.0)</f>
        <v>1</v>
      </c>
      <c r="P14" s="5">
        <f>IFERROR(__xludf.DUMMYFUNCTION("""COMPUTED_VALUE"""),0.0)</f>
        <v>0</v>
      </c>
      <c r="Q14" s="5">
        <f>IFERROR(__xludf.DUMMYFUNCTION("""COMPUTED_VALUE"""),0.0)</f>
        <v>0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IFERROR(__xludf.DUMMYFUNCTION("""COMPUTED_VALUE"""),350602.0)</f>
        <v>350602</v>
      </c>
      <c r="B15" s="5" t="str">
        <f>IFERROR(__xludf.DUMMYFUNCTION("""COMPUTED_VALUE"""),"田村拓人")</f>
        <v>田村拓人</v>
      </c>
      <c r="C15" s="5" t="str">
        <f>IFERROR(__xludf.DUMMYFUNCTION("""COMPUTED_VALUE"""),"たむらたくと")</f>
        <v>たむらたくと</v>
      </c>
      <c r="D15" s="5">
        <f>IFERROR(__xludf.DUMMYFUNCTION("""COMPUTED_VALUE"""),1.0)</f>
        <v>1</v>
      </c>
      <c r="E15" s="5" t="str">
        <f>IFERROR(__xludf.DUMMYFUNCTION("""COMPUTED_VALUE"""),"男")</f>
        <v>男</v>
      </c>
      <c r="F15" s="5" t="str">
        <f>IFERROR(__xludf.DUMMYFUNCTION("""COMPUTED_VALUE"""),"×欠場")</f>
        <v>×欠場</v>
      </c>
      <c r="G15" s="5" t="str">
        <f>IFERROR(__xludf.DUMMYFUNCTION("""COMPUTED_VALUE"""),"×欠場")</f>
        <v>×欠場</v>
      </c>
      <c r="H15" s="5"/>
      <c r="I15" s="5" t="str">
        <f>IFERROR(__xludf.DUMMYFUNCTION("""COMPUTED_VALUE"""),"×参加しない")</f>
        <v>×参加しない</v>
      </c>
      <c r="J15" s="5"/>
      <c r="K15" s="12">
        <f t="shared" si="2"/>
        <v>0</v>
      </c>
    </row>
    <row r="16" ht="19.5" customHeight="1">
      <c r="A16" s="5">
        <f>IFERROR(__xludf.DUMMYFUNCTION("""COMPUTED_VALUE"""),350603.0)</f>
        <v>350603</v>
      </c>
      <c r="B16" s="5" t="str">
        <f>IFERROR(__xludf.DUMMYFUNCTION("""COMPUTED_VALUE"""),"小林朋幹")</f>
        <v>小林朋幹</v>
      </c>
      <c r="C16" s="5" t="str">
        <f>IFERROR(__xludf.DUMMYFUNCTION("""COMPUTED_VALUE"""),"こばやしともき")</f>
        <v>こばやしともき</v>
      </c>
      <c r="D16" s="5">
        <f>IFERROR(__xludf.DUMMYFUNCTION("""COMPUTED_VALUE"""),1.0)</f>
        <v>1</v>
      </c>
      <c r="E16" s="5" t="str">
        <f>IFERROR(__xludf.DUMMYFUNCTION("""COMPUTED_VALUE"""),"男")</f>
        <v>男</v>
      </c>
      <c r="F16" s="5" t="str">
        <f>IFERROR(__xludf.DUMMYFUNCTION("""COMPUTED_VALUE"""),"×欠場")</f>
        <v>×欠場</v>
      </c>
      <c r="G16" s="5" t="str">
        <f>IFERROR(__xludf.DUMMYFUNCTION("""COMPUTED_VALUE"""),"×欠場")</f>
        <v>×欠場</v>
      </c>
      <c r="H16" s="5"/>
      <c r="I16" s="5" t="str">
        <f>IFERROR(__xludf.DUMMYFUNCTION("""COMPUTED_VALUE"""),"×参加しない")</f>
        <v>×参加しない</v>
      </c>
      <c r="J16" s="5"/>
      <c r="K16" s="12">
        <f t="shared" si="2"/>
        <v>0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>
        <f>IFERROR(__xludf.DUMMYFUNCTION("""COMPUTED_VALUE"""),350604.0)</f>
        <v>350604</v>
      </c>
      <c r="B17" s="5" t="str">
        <f>IFERROR(__xludf.DUMMYFUNCTION("""COMPUTED_VALUE"""),"山岸沙映")</f>
        <v>山岸沙映</v>
      </c>
      <c r="C17" s="5" t="str">
        <f>IFERROR(__xludf.DUMMYFUNCTION("""COMPUTED_VALUE"""),"やまぎしさえ")</f>
        <v>やまぎしさえ</v>
      </c>
      <c r="D17" s="5">
        <f>IFERROR(__xludf.DUMMYFUNCTION("""COMPUTED_VALUE"""),1.0)</f>
        <v>1</v>
      </c>
      <c r="E17" s="5" t="str">
        <f>IFERROR(__xludf.DUMMYFUNCTION("""COMPUTED_VALUE"""),"女")</f>
        <v>女</v>
      </c>
      <c r="F17" s="5" t="str">
        <f>IFERROR(__xludf.DUMMYFUNCTION("""COMPUTED_VALUE"""),"WUF")</f>
        <v>WUF</v>
      </c>
      <c r="G17" s="5" t="str">
        <f>IFERROR(__xludf.DUMMYFUNCTION("""COMPUTED_VALUE"""),"○出場")</f>
        <v>○出場</v>
      </c>
      <c r="H17" s="5">
        <f>IFERROR(__xludf.DUMMYFUNCTION("""COMPUTED_VALUE"""),530300.0)</f>
        <v>530300</v>
      </c>
      <c r="I17" s="5" t="str">
        <f>IFERROR(__xludf.DUMMYFUNCTION("""COMPUTED_VALUE"""),"○参加する")</f>
        <v>○参加する</v>
      </c>
      <c r="J17" s="5"/>
      <c r="K17" s="12">
        <f t="shared" si="2"/>
        <v>1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>
        <f>IFERROR(__xludf.DUMMYFUNCTION("""COMPUTED_VALUE"""),350605.0)</f>
        <v>350605</v>
      </c>
      <c r="B18" s="5" t="str">
        <f>IFERROR(__xludf.DUMMYFUNCTION("""COMPUTED_VALUE"""),"清沢翼")</f>
        <v>清沢翼</v>
      </c>
      <c r="C18" s="5" t="str">
        <f>IFERROR(__xludf.DUMMYFUNCTION("""COMPUTED_VALUE"""),"きよさわつばさ")</f>
        <v>きよさわつばさ</v>
      </c>
      <c r="D18" s="5">
        <f>IFERROR(__xludf.DUMMYFUNCTION("""COMPUTED_VALUE"""),1.0)</f>
        <v>1</v>
      </c>
      <c r="E18" s="5" t="str">
        <f>IFERROR(__xludf.DUMMYFUNCTION("""COMPUTED_VALUE"""),"男")</f>
        <v>男</v>
      </c>
      <c r="F18" s="5" t="str">
        <f>IFERROR(__xludf.DUMMYFUNCTION("""COMPUTED_VALUE"""),"×欠場")</f>
        <v>×欠場</v>
      </c>
      <c r="G18" s="5" t="str">
        <f>IFERROR(__xludf.DUMMYFUNCTION("""COMPUTED_VALUE"""),"×欠場")</f>
        <v>×欠場</v>
      </c>
      <c r="H18" s="5"/>
      <c r="I18" s="5" t="str">
        <f>IFERROR(__xludf.DUMMYFUNCTION("""COMPUTED_VALUE"""),"×参加しない")</f>
        <v>×参加しない</v>
      </c>
      <c r="J18" s="5"/>
      <c r="K18" s="12">
        <f t="shared" si="2"/>
        <v>0</v>
      </c>
      <c r="M18" s="5" t="s">
        <v>26</v>
      </c>
      <c r="N18" s="2"/>
      <c r="O18" s="4"/>
      <c r="P18" s="2" t="s">
        <v>2337</v>
      </c>
      <c r="Q18" s="3"/>
      <c r="R18" s="3"/>
      <c r="S18" s="3"/>
      <c r="T18" s="3"/>
      <c r="U18" s="4"/>
    </row>
    <row r="19" ht="19.5" customHeight="1">
      <c r="A19" s="5">
        <f>IFERROR(__xludf.DUMMYFUNCTION("""COMPUTED_VALUE"""),250601.0)</f>
        <v>250601</v>
      </c>
      <c r="B19" s="5" t="str">
        <f>IFERROR(__xludf.DUMMYFUNCTION("""COMPUTED_VALUE"""),"横江明弘")</f>
        <v>横江明弘</v>
      </c>
      <c r="C19" s="5" t="str">
        <f>IFERROR(__xludf.DUMMYFUNCTION("""COMPUTED_VALUE"""),"よこえあきひろ")</f>
        <v>よこえあきひろ</v>
      </c>
      <c r="D19" s="5">
        <f>IFERROR(__xludf.DUMMYFUNCTION("""COMPUTED_VALUE"""),2.0)</f>
        <v>2</v>
      </c>
      <c r="E19" s="5" t="str">
        <f>IFERROR(__xludf.DUMMYFUNCTION("""COMPUTED_VALUE"""),"男")</f>
        <v>男</v>
      </c>
      <c r="F19" s="5" t="str">
        <f>IFERROR(__xludf.DUMMYFUNCTION("""COMPUTED_VALUE"""),"MUA")</f>
        <v>MUA</v>
      </c>
      <c r="G19" s="5" t="str">
        <f>IFERROR(__xludf.DUMMYFUNCTION("""COMPUTED_VALUE"""),"○出場")</f>
        <v>○出場</v>
      </c>
      <c r="H19" s="5">
        <f>IFERROR(__xludf.DUMMYFUNCTION("""COMPUTED_VALUE"""),523121.0)</f>
        <v>523121</v>
      </c>
      <c r="I19" s="5" t="str">
        <f>IFERROR(__xludf.DUMMYFUNCTION("""COMPUTED_VALUE"""),"○参加する")</f>
        <v>○参加する</v>
      </c>
      <c r="J19" s="5"/>
      <c r="K19" s="12">
        <f t="shared" si="2"/>
        <v>1</v>
      </c>
      <c r="M19" s="5" t="s">
        <v>29</v>
      </c>
      <c r="N19" s="2" t="s">
        <v>563</v>
      </c>
      <c r="O19" s="4"/>
      <c r="P19" s="2" t="s">
        <v>2324</v>
      </c>
      <c r="Q19" s="3"/>
      <c r="R19" s="3"/>
      <c r="S19" s="3"/>
      <c r="T19" s="3"/>
      <c r="U19" s="4"/>
    </row>
    <row r="20" ht="19.5" customHeight="1">
      <c r="A20" s="5">
        <f>IFERROR(__xludf.DUMMYFUNCTION("""COMPUTED_VALUE"""),250604.0)</f>
        <v>250604</v>
      </c>
      <c r="B20" s="5" t="str">
        <f>IFERROR(__xludf.DUMMYFUNCTION("""COMPUTED_VALUE"""),"細川恒平")</f>
        <v>細川恒平</v>
      </c>
      <c r="C20" s="5" t="str">
        <f>IFERROR(__xludf.DUMMYFUNCTION("""COMPUTED_VALUE"""),"ほそかわこうへい")</f>
        <v>ほそかわこうへい</v>
      </c>
      <c r="D20" s="5">
        <f>IFERROR(__xludf.DUMMYFUNCTION("""COMPUTED_VALUE"""),2.0)</f>
        <v>2</v>
      </c>
      <c r="E20" s="5" t="str">
        <f>IFERROR(__xludf.DUMMYFUNCTION("""COMPUTED_VALUE"""),"男")</f>
        <v>男</v>
      </c>
      <c r="F20" s="5" t="str">
        <f>IFERROR(__xludf.DUMMYFUNCTION("""COMPUTED_VALUE"""),"×欠場")</f>
        <v>×欠場</v>
      </c>
      <c r="G20" s="5" t="str">
        <f>IFERROR(__xludf.DUMMYFUNCTION("""COMPUTED_VALUE"""),"×欠場")</f>
        <v>×欠場</v>
      </c>
      <c r="H20" s="5"/>
      <c r="I20" s="5" t="str">
        <f>IFERROR(__xludf.DUMMYFUNCTION("""COMPUTED_VALUE"""),"×参加しない")</f>
        <v>×参加しない</v>
      </c>
      <c r="J20" s="5"/>
      <c r="K20" s="12">
        <f t="shared" si="2"/>
        <v>0</v>
      </c>
      <c r="M20" s="5" t="s">
        <v>32</v>
      </c>
      <c r="N20" s="2" t="s">
        <v>1636</v>
      </c>
      <c r="O20" s="4"/>
      <c r="P20" s="2" t="s">
        <v>2334</v>
      </c>
      <c r="Q20" s="3"/>
      <c r="R20" s="3"/>
      <c r="S20" s="3"/>
      <c r="T20" s="3"/>
      <c r="U20" s="4"/>
    </row>
    <row r="21" ht="19.5" customHeight="1">
      <c r="A21" s="5">
        <f>IFERROR(__xludf.DUMMYFUNCTION("""COMPUTED_VALUE"""),250605.0)</f>
        <v>250605</v>
      </c>
      <c r="B21" s="5" t="str">
        <f>IFERROR(__xludf.DUMMYFUNCTION("""COMPUTED_VALUE"""),"荒川諒一郎")</f>
        <v>荒川諒一郎</v>
      </c>
      <c r="C21" s="5" t="str">
        <f>IFERROR(__xludf.DUMMYFUNCTION("""COMPUTED_VALUE"""),"あらかわりょういちろう")</f>
        <v>あらかわりょういちろう</v>
      </c>
      <c r="D21" s="5">
        <f>IFERROR(__xludf.DUMMYFUNCTION("""COMPUTED_VALUE"""),2.0)</f>
        <v>2</v>
      </c>
      <c r="E21" s="5" t="str">
        <f>IFERROR(__xludf.DUMMYFUNCTION("""COMPUTED_VALUE"""),"男")</f>
        <v>男</v>
      </c>
      <c r="F21" s="5" t="str">
        <f>IFERROR(__xludf.DUMMYFUNCTION("""COMPUTED_VALUE"""),"×欠場")</f>
        <v>×欠場</v>
      </c>
      <c r="G21" s="5" t="str">
        <f>IFERROR(__xludf.DUMMYFUNCTION("""COMPUTED_VALUE"""),"×欠場")</f>
        <v>×欠場</v>
      </c>
      <c r="H21" s="5"/>
      <c r="I21" s="5" t="str">
        <f>IFERROR(__xludf.DUMMYFUNCTION("""COMPUTED_VALUE"""),"×参加しない")</f>
        <v>×参加しない</v>
      </c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>
        <f>IFERROR(__xludf.DUMMYFUNCTION("""COMPUTED_VALUE"""),250607.0)</f>
        <v>250607</v>
      </c>
      <c r="B22" s="5" t="str">
        <f>IFERROR(__xludf.DUMMYFUNCTION("""COMPUTED_VALUE"""),"稲垣宗矩")</f>
        <v>稲垣宗矩</v>
      </c>
      <c r="C22" s="5" t="str">
        <f>IFERROR(__xludf.DUMMYFUNCTION("""COMPUTED_VALUE"""),"いながきむねのり")</f>
        <v>いながきむねのり</v>
      </c>
      <c r="D22" s="5">
        <f>IFERROR(__xludf.DUMMYFUNCTION("""COMPUTED_VALUE"""),2.0)</f>
        <v>2</v>
      </c>
      <c r="E22" s="5" t="str">
        <f>IFERROR(__xludf.DUMMYFUNCTION("""COMPUTED_VALUE"""),"男")</f>
        <v>男</v>
      </c>
      <c r="F22" s="5" t="str">
        <f>IFERROR(__xludf.DUMMYFUNCTION("""COMPUTED_VALUE"""),"×欠場")</f>
        <v>×欠場</v>
      </c>
      <c r="G22" s="5" t="str">
        <f>IFERROR(__xludf.DUMMYFUNCTION("""COMPUTED_VALUE"""),"×欠場")</f>
        <v>×欠場</v>
      </c>
      <c r="H22" s="5"/>
      <c r="I22" s="5" t="str">
        <f>IFERROR(__xludf.DUMMYFUNCTION("""COMPUTED_VALUE"""),"×参加しない")</f>
        <v>×参加しない</v>
      </c>
      <c r="J22" s="5"/>
      <c r="K22" s="12">
        <f t="shared" si="2"/>
        <v>0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>
        <f>IFERROR(__xludf.DUMMYFUNCTION("""COMPUTED_VALUE"""),250608.0)</f>
        <v>250608</v>
      </c>
      <c r="B23" s="5" t="str">
        <f>IFERROR(__xludf.DUMMYFUNCTION("""COMPUTED_VALUE"""),"笠原元和")</f>
        <v>笠原元和</v>
      </c>
      <c r="C23" s="5" t="str">
        <f>IFERROR(__xludf.DUMMYFUNCTION("""COMPUTED_VALUE"""),"かさはらげんな")</f>
        <v>かさはらげんな</v>
      </c>
      <c r="D23" s="5">
        <f>IFERROR(__xludf.DUMMYFUNCTION("""COMPUTED_VALUE"""),2.0)</f>
        <v>2</v>
      </c>
      <c r="E23" s="5" t="str">
        <f>IFERROR(__xludf.DUMMYFUNCTION("""COMPUTED_VALUE"""),"男")</f>
        <v>男</v>
      </c>
      <c r="F23" s="5" t="str">
        <f>IFERROR(__xludf.DUMMYFUNCTION("""COMPUTED_VALUE"""),"×欠場")</f>
        <v>×欠場</v>
      </c>
      <c r="G23" s="5" t="str">
        <f>IFERROR(__xludf.DUMMYFUNCTION("""COMPUTED_VALUE"""),"×欠場")</f>
        <v>×欠場</v>
      </c>
      <c r="H23" s="5"/>
      <c r="I23" s="5" t="str">
        <f>IFERROR(__xludf.DUMMYFUNCTION("""COMPUTED_VALUE"""),"×参加しない")</f>
        <v>×参加しない</v>
      </c>
      <c r="J23" s="5"/>
      <c r="K23" s="12">
        <f t="shared" si="2"/>
        <v>0</v>
      </c>
      <c r="M23" s="2" t="str">
        <f>IFERROR(__xludf.DUMMYFUNCTION("FILTER('オフィシャル'!$B$2:$B$65,'オフィシャル'!$A$2:$A$65=A1)"),"松本萌恵")</f>
        <v>松本萌恵</v>
      </c>
      <c r="N23" s="4"/>
      <c r="O23" s="2" t="str">
        <f>IFERROR(__xludf.DUMMYFUNCTION("FILTER('オフィシャル'!$C$2:$C$65,'オフィシャル'!$A$2:$A$65=A1)"),"まつもともえ")</f>
        <v>まつもともえ</v>
      </c>
      <c r="P23" s="3"/>
      <c r="Q23" s="5" t="str">
        <f>IFERROR(__xludf.DUMMYFUNCTION("FILTER('オフィシャル'!$D$2:$D$65,'オフィシャル'!$A$2:$A$65=A1)"),"女")</f>
        <v>女</v>
      </c>
      <c r="R23" s="2" t="str">
        <f>IFERROR(__xludf.DUMMYFUNCTION("FILTER('オフィシャル'!$E$2:$E$65,'オフィシャル'!$A$2:$A$65=A1)"),"○する")</f>
        <v>○する</v>
      </c>
      <c r="S23" s="4"/>
      <c r="T23" s="14" t="str">
        <f>IFERROR(__xludf.DUMMYFUNCTION("FILTER('オフィシャル'!$F$2:$F$65,'オフィシャル'!$A$2:$A$65=A1)"),"")</f>
        <v/>
      </c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>
        <f>IFERROR(__xludf.DUMMYFUNCTION("""COMPUTED_VALUE"""),250609.0)</f>
        <v>250609</v>
      </c>
      <c r="B24" s="5" t="str">
        <f>IFERROR(__xludf.DUMMYFUNCTION("""COMPUTED_VALUE"""),"高橋知裕")</f>
        <v>高橋知裕</v>
      </c>
      <c r="C24" s="5" t="str">
        <f>IFERROR(__xludf.DUMMYFUNCTION("""COMPUTED_VALUE"""),"たかはしともひろ")</f>
        <v>たかはしともひろ</v>
      </c>
      <c r="D24" s="5">
        <f>IFERROR(__xludf.DUMMYFUNCTION("""COMPUTED_VALUE"""),2.0)</f>
        <v>2</v>
      </c>
      <c r="E24" s="5" t="str">
        <f>IFERROR(__xludf.DUMMYFUNCTION("""COMPUTED_VALUE"""),"男")</f>
        <v>男</v>
      </c>
      <c r="F24" s="5" t="str">
        <f>IFERROR(__xludf.DUMMYFUNCTION("""COMPUTED_VALUE"""),"×欠場")</f>
        <v>×欠場</v>
      </c>
      <c r="G24" s="5" t="str">
        <f>IFERROR(__xludf.DUMMYFUNCTION("""COMPUTED_VALUE"""),"×欠場")</f>
        <v>×欠場</v>
      </c>
      <c r="H24" s="5"/>
      <c r="I24" s="5" t="str">
        <f>IFERROR(__xludf.DUMMYFUNCTION("""COMPUTED_VALUE"""),"×参加しない")</f>
        <v>×参加しない</v>
      </c>
      <c r="J24" s="5"/>
      <c r="K24" s="12">
        <f t="shared" si="2"/>
        <v>0</v>
      </c>
      <c r="M24" s="2" t="str">
        <f>IFERROR(__xludf.DUMMYFUNCTION("""COMPUTED_VALUE"""),"浴本悠貴")</f>
        <v>浴本悠貴</v>
      </c>
      <c r="N24" s="4"/>
      <c r="O24" s="2" t="str">
        <f>IFERROR(__xludf.DUMMYFUNCTION("""COMPUTED_VALUE"""),"えきもとゆうき")</f>
        <v>えきもとゆうき</v>
      </c>
      <c r="P24" s="3"/>
      <c r="Q24" s="5" t="str">
        <f>IFERROR(__xludf.DUMMYFUNCTION("""COMPUTED_VALUE"""),"男")</f>
        <v>男</v>
      </c>
      <c r="R24" s="2" t="str">
        <f>IFERROR(__xludf.DUMMYFUNCTION("""COMPUTED_VALUE"""),"○する")</f>
        <v>○する</v>
      </c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>
        <f>IFERROR(__xludf.DUMMYFUNCTION("""COMPUTED_VALUE"""),250612.0)</f>
        <v>250612</v>
      </c>
      <c r="B25" s="5" t="str">
        <f>IFERROR(__xludf.DUMMYFUNCTION("""COMPUTED_VALUE"""),"久野航")</f>
        <v>久野航</v>
      </c>
      <c r="C25" s="5" t="str">
        <f>IFERROR(__xludf.DUMMYFUNCTION("""COMPUTED_VALUE"""),"ひさのわたる")</f>
        <v>ひさのわたる</v>
      </c>
      <c r="D25" s="5">
        <f>IFERROR(__xludf.DUMMYFUNCTION("""COMPUTED_VALUE"""),2.0)</f>
        <v>2</v>
      </c>
      <c r="E25" s="5" t="str">
        <f>IFERROR(__xludf.DUMMYFUNCTION("""COMPUTED_VALUE"""),"男")</f>
        <v>男</v>
      </c>
      <c r="F25" s="5" t="str">
        <f>IFERROR(__xludf.DUMMYFUNCTION("""COMPUTED_VALUE"""),"×欠場")</f>
        <v>×欠場</v>
      </c>
      <c r="G25" s="5" t="str">
        <f>IFERROR(__xludf.DUMMYFUNCTION("""COMPUTED_VALUE"""),"×欠場")</f>
        <v>×欠場</v>
      </c>
      <c r="H25" s="5"/>
      <c r="I25" s="5" t="str">
        <f>IFERROR(__xludf.DUMMYFUNCTION("""COMPUTED_VALUE"""),"×参加しない")</f>
        <v>×参加しない</v>
      </c>
      <c r="J25" s="5"/>
      <c r="K25" s="12">
        <f t="shared" si="2"/>
        <v>0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>
        <f>IFERROR(__xludf.DUMMYFUNCTION("""COMPUTED_VALUE"""),250613.0)</f>
        <v>250613</v>
      </c>
      <c r="B26" s="5" t="str">
        <f>IFERROR(__xludf.DUMMYFUNCTION("""COMPUTED_VALUE"""),"遠藤萌々花")</f>
        <v>遠藤萌々花</v>
      </c>
      <c r="C26" s="5" t="str">
        <f>IFERROR(__xludf.DUMMYFUNCTION("""COMPUTED_VALUE"""),"えんどうももか")</f>
        <v>えんどうももか</v>
      </c>
      <c r="D26" s="5">
        <f>IFERROR(__xludf.DUMMYFUNCTION("""COMPUTED_VALUE"""),2.0)</f>
        <v>2</v>
      </c>
      <c r="E26" s="5" t="str">
        <f>IFERROR(__xludf.DUMMYFUNCTION("""COMPUTED_VALUE"""),"女")</f>
        <v>女</v>
      </c>
      <c r="F26" s="5" t="str">
        <f>IFERROR(__xludf.DUMMYFUNCTION("""COMPUTED_VALUE"""),"×欠場")</f>
        <v>×欠場</v>
      </c>
      <c r="G26" s="5" t="str">
        <f>IFERROR(__xludf.DUMMYFUNCTION("""COMPUTED_VALUE"""),"×欠場")</f>
        <v>×欠場</v>
      </c>
      <c r="H26" s="5"/>
      <c r="I26" s="5" t="str">
        <f>IFERROR(__xludf.DUMMYFUNCTION("""COMPUTED_VALUE"""),"×参加しない")</f>
        <v>×参加しない</v>
      </c>
      <c r="J26" s="5"/>
      <c r="K26" s="12">
        <f t="shared" si="2"/>
        <v>0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>
        <f>IFERROR(__xludf.DUMMYFUNCTION("""COMPUTED_VALUE"""),250615.0)</f>
        <v>250615</v>
      </c>
      <c r="B27" s="5" t="str">
        <f>IFERROR(__xludf.DUMMYFUNCTION("""COMPUTED_VALUE"""),"永原壮規")</f>
        <v>永原壮規</v>
      </c>
      <c r="C27" s="5" t="str">
        <f>IFERROR(__xludf.DUMMYFUNCTION("""COMPUTED_VALUE"""),"ながはらそうき")</f>
        <v>ながはらそうき</v>
      </c>
      <c r="D27" s="5">
        <f>IFERROR(__xludf.DUMMYFUNCTION("""COMPUTED_VALUE"""),2.0)</f>
        <v>2</v>
      </c>
      <c r="E27" s="5" t="str">
        <f>IFERROR(__xludf.DUMMYFUNCTION("""COMPUTED_VALUE"""),"男")</f>
        <v>男</v>
      </c>
      <c r="F27" s="5" t="str">
        <f>IFERROR(__xludf.DUMMYFUNCTION("""COMPUTED_VALUE"""),"×欠場")</f>
        <v>×欠場</v>
      </c>
      <c r="G27" s="5" t="str">
        <f>IFERROR(__xludf.DUMMYFUNCTION("""COMPUTED_VALUE"""),"×欠場")</f>
        <v>×欠場</v>
      </c>
      <c r="H27" s="5"/>
      <c r="I27" s="5" t="str">
        <f>IFERROR(__xludf.DUMMYFUNCTION("""COMPUTED_VALUE"""),"×参加しない")</f>
        <v>×参加しない</v>
      </c>
      <c r="J27" s="5"/>
      <c r="K27" s="12">
        <f t="shared" si="2"/>
        <v>0</v>
      </c>
    </row>
    <row r="28" ht="19.5" customHeight="1">
      <c r="A28" s="5">
        <f>IFERROR(__xludf.DUMMYFUNCTION("""COMPUTED_VALUE"""),250616.0)</f>
        <v>250616</v>
      </c>
      <c r="B28" s="5" t="str">
        <f>IFERROR(__xludf.DUMMYFUNCTION("""COMPUTED_VALUE"""),"周孝海")</f>
        <v>周孝海</v>
      </c>
      <c r="C28" s="5" t="str">
        <f>IFERROR(__xludf.DUMMYFUNCTION("""COMPUTED_VALUE"""),"しゅうこうみ")</f>
        <v>しゅうこうみ</v>
      </c>
      <c r="D28" s="5">
        <f>IFERROR(__xludf.DUMMYFUNCTION("""COMPUTED_VALUE"""),2.0)</f>
        <v>2</v>
      </c>
      <c r="E28" s="5" t="str">
        <f>IFERROR(__xludf.DUMMYFUNCTION("""COMPUTED_VALUE"""),"男")</f>
        <v>男</v>
      </c>
      <c r="F28" s="5" t="str">
        <f>IFERROR(__xludf.DUMMYFUNCTION("""COMPUTED_VALUE"""),"×欠場")</f>
        <v>×欠場</v>
      </c>
      <c r="G28" s="5" t="str">
        <f>IFERROR(__xludf.DUMMYFUNCTION("""COMPUTED_VALUE"""),"×欠場")</f>
        <v>×欠場</v>
      </c>
      <c r="H28" s="5"/>
      <c r="I28" s="5" t="str">
        <f>IFERROR(__xludf.DUMMYFUNCTION("""COMPUTED_VALUE"""),"×参加しない")</f>
        <v>×参加しない</v>
      </c>
      <c r="J28" s="5"/>
      <c r="K28" s="12">
        <f t="shared" si="2"/>
        <v>0</v>
      </c>
    </row>
    <row r="29" ht="19.5" customHeight="1">
      <c r="A29" s="5">
        <f>IFERROR(__xludf.DUMMYFUNCTION("""COMPUTED_VALUE"""),250619.0)</f>
        <v>250619</v>
      </c>
      <c r="B29" s="5" t="str">
        <f>IFERROR(__xludf.DUMMYFUNCTION("""COMPUTED_VALUE"""),"早川 貴裕")</f>
        <v>早川 貴裕</v>
      </c>
      <c r="C29" s="5" t="str">
        <f>IFERROR(__xludf.DUMMYFUNCTION("""COMPUTED_VALUE"""),"はやかわ たかひろ")</f>
        <v>はやかわ たかひろ</v>
      </c>
      <c r="D29" s="5">
        <f>IFERROR(__xludf.DUMMYFUNCTION("""COMPUTED_VALUE"""),2.0)</f>
        <v>2</v>
      </c>
      <c r="E29" s="5" t="str">
        <f>IFERROR(__xludf.DUMMYFUNCTION("""COMPUTED_VALUE"""),"男")</f>
        <v>男</v>
      </c>
      <c r="F29" s="5" t="str">
        <f>IFERROR(__xludf.DUMMYFUNCTION("""COMPUTED_VALUE"""),"×欠場")</f>
        <v>×欠場</v>
      </c>
      <c r="G29" s="5" t="str">
        <f>IFERROR(__xludf.DUMMYFUNCTION("""COMPUTED_VALUE"""),"×欠場")</f>
        <v>×欠場</v>
      </c>
      <c r="H29" s="5"/>
      <c r="I29" s="5" t="str">
        <f>IFERROR(__xludf.DUMMYFUNCTION("""COMPUTED_VALUE"""),"×参加しない")</f>
        <v>×参加しない</v>
      </c>
      <c r="J29" s="5"/>
      <c r="K29" s="12">
        <f t="shared" si="2"/>
        <v>0</v>
      </c>
    </row>
    <row r="30" ht="19.5" customHeight="1">
      <c r="A30" s="5">
        <f>IFERROR(__xludf.DUMMYFUNCTION("""COMPUTED_VALUE"""),250620.0)</f>
        <v>250620</v>
      </c>
      <c r="B30" s="5" t="str">
        <f>IFERROR(__xludf.DUMMYFUNCTION("""COMPUTED_VALUE"""),"飯田 敬博")</f>
        <v>飯田 敬博</v>
      </c>
      <c r="C30" s="5" t="str">
        <f>IFERROR(__xludf.DUMMYFUNCTION("""COMPUTED_VALUE"""),"いいだ たかひろ")</f>
        <v>いいだ たかひろ</v>
      </c>
      <c r="D30" s="5">
        <f>IFERROR(__xludf.DUMMYFUNCTION("""COMPUTED_VALUE"""),2.0)</f>
        <v>2</v>
      </c>
      <c r="E30" s="5" t="str">
        <f>IFERROR(__xludf.DUMMYFUNCTION("""COMPUTED_VALUE"""),"男")</f>
        <v>男</v>
      </c>
      <c r="F30" s="5" t="str">
        <f>IFERROR(__xludf.DUMMYFUNCTION("""COMPUTED_VALUE"""),"×欠場")</f>
        <v>×欠場</v>
      </c>
      <c r="G30" s="5" t="str">
        <f>IFERROR(__xludf.DUMMYFUNCTION("""COMPUTED_VALUE"""),"×欠場")</f>
        <v>×欠場</v>
      </c>
      <c r="H30" s="5"/>
      <c r="I30" s="5" t="str">
        <f>IFERROR(__xludf.DUMMYFUNCTION("""COMPUTED_VALUE"""),"×参加しない")</f>
        <v>×参加しない</v>
      </c>
      <c r="J30" s="5"/>
      <c r="K30" s="12">
        <f t="shared" si="2"/>
        <v>0</v>
      </c>
    </row>
    <row r="31" ht="19.5" customHeight="1">
      <c r="A31" s="5">
        <f>IFERROR(__xludf.DUMMYFUNCTION("""COMPUTED_VALUE"""),150601.0)</f>
        <v>150601</v>
      </c>
      <c r="B31" s="5" t="str">
        <f>IFERROR(__xludf.DUMMYFUNCTION("""COMPUTED_VALUE"""),"松尾晴乃")</f>
        <v>松尾晴乃</v>
      </c>
      <c r="C31" s="5" t="str">
        <f>IFERROR(__xludf.DUMMYFUNCTION("""COMPUTED_VALUE"""),"まつおはるの")</f>
        <v>まつおはるの</v>
      </c>
      <c r="D31" s="5">
        <f>IFERROR(__xludf.DUMMYFUNCTION("""COMPUTED_VALUE"""),3.0)</f>
        <v>3</v>
      </c>
      <c r="E31" s="5" t="str">
        <f>IFERROR(__xludf.DUMMYFUNCTION("""COMPUTED_VALUE"""),"女")</f>
        <v>女</v>
      </c>
      <c r="F31" s="5" t="str">
        <f>IFERROR(__xludf.DUMMYFUNCTION("""COMPUTED_VALUE"""),"×欠場")</f>
        <v>×欠場</v>
      </c>
      <c r="G31" s="5" t="str">
        <f>IFERROR(__xludf.DUMMYFUNCTION("""COMPUTED_VALUE"""),"×欠場")</f>
        <v>×欠場</v>
      </c>
      <c r="H31" s="5"/>
      <c r="I31" s="5" t="str">
        <f>IFERROR(__xludf.DUMMYFUNCTION("""COMPUTED_VALUE"""),"×参加しない")</f>
        <v>×参加しない</v>
      </c>
      <c r="J31" s="5"/>
      <c r="K31" s="12">
        <f t="shared" si="2"/>
        <v>0</v>
      </c>
    </row>
    <row r="32" ht="19.5" customHeight="1">
      <c r="A32" s="5">
        <f>IFERROR(__xludf.DUMMYFUNCTION("""COMPUTED_VALUE"""),150602.0)</f>
        <v>150602</v>
      </c>
      <c r="B32" s="5" t="str">
        <f>IFERROR(__xludf.DUMMYFUNCTION("""COMPUTED_VALUE"""),"藤澤 ゆい")</f>
        <v>藤澤 ゆい</v>
      </c>
      <c r="C32" s="5" t="str">
        <f>IFERROR(__xludf.DUMMYFUNCTION("""COMPUTED_VALUE"""),"ふじさわ ゆい")</f>
        <v>ふじさわ ゆい</v>
      </c>
      <c r="D32" s="5">
        <f>IFERROR(__xludf.DUMMYFUNCTION("""COMPUTED_VALUE"""),3.0)</f>
        <v>3</v>
      </c>
      <c r="E32" s="5" t="str">
        <f>IFERROR(__xludf.DUMMYFUNCTION("""COMPUTED_VALUE"""),"女")</f>
        <v>女</v>
      </c>
      <c r="F32" s="5" t="str">
        <f>IFERROR(__xludf.DUMMYFUNCTION("""COMPUTED_VALUE"""),"WUA")</f>
        <v>WUA</v>
      </c>
      <c r="G32" s="5" t="str">
        <f>IFERROR(__xludf.DUMMYFUNCTION("""COMPUTED_VALUE"""),"○出場")</f>
        <v>○出場</v>
      </c>
      <c r="H32" s="5">
        <f>IFERROR(__xludf.DUMMYFUNCTION("""COMPUTED_VALUE"""),519410.0)</f>
        <v>519410</v>
      </c>
      <c r="I32" s="5" t="str">
        <f>IFERROR(__xludf.DUMMYFUNCTION("""COMPUTED_VALUE"""),"○参加する")</f>
        <v>○参加する</v>
      </c>
      <c r="J32" s="5"/>
      <c r="K32" s="12">
        <f t="shared" si="2"/>
        <v>1</v>
      </c>
    </row>
    <row r="33" ht="19.5" customHeight="1">
      <c r="A33" s="5">
        <f>IFERROR(__xludf.DUMMYFUNCTION("""COMPUTED_VALUE"""),150604.0)</f>
        <v>150604</v>
      </c>
      <c r="B33" s="5" t="str">
        <f>IFERROR(__xludf.DUMMYFUNCTION("""COMPUTED_VALUE"""),"織田 暁斗")</f>
        <v>織田 暁斗</v>
      </c>
      <c r="C33" s="5" t="str">
        <f>IFERROR(__xludf.DUMMYFUNCTION("""COMPUTED_VALUE"""),"おりた あきと")</f>
        <v>おりた あきと</v>
      </c>
      <c r="D33" s="5">
        <f>IFERROR(__xludf.DUMMYFUNCTION("""COMPUTED_VALUE"""),3.0)</f>
        <v>3</v>
      </c>
      <c r="E33" s="5" t="str">
        <f>IFERROR(__xludf.DUMMYFUNCTION("""COMPUTED_VALUE"""),"男")</f>
        <v>男</v>
      </c>
      <c r="F33" s="5" t="str">
        <f>IFERROR(__xludf.DUMMYFUNCTION("""COMPUTED_VALUE"""),"MUA")</f>
        <v>MUA</v>
      </c>
      <c r="G33" s="5" t="str">
        <f>IFERROR(__xludf.DUMMYFUNCTION("""COMPUTED_VALUE"""),"○出場")</f>
        <v>○出場</v>
      </c>
      <c r="H33" s="5">
        <f>IFERROR(__xludf.DUMMYFUNCTION("""COMPUTED_VALUE"""),519414.0)</f>
        <v>519414</v>
      </c>
      <c r="I33" s="5" t="str">
        <f>IFERROR(__xludf.DUMMYFUNCTION("""COMPUTED_VALUE"""),"○参加する")</f>
        <v>○参加する</v>
      </c>
      <c r="J33" s="5"/>
      <c r="K33" s="12">
        <f t="shared" si="2"/>
        <v>1</v>
      </c>
    </row>
    <row r="34" ht="19.5" customHeight="1">
      <c r="A34" s="5">
        <f>IFERROR(__xludf.DUMMYFUNCTION("""COMPUTED_VALUE"""),150609.0)</f>
        <v>150609</v>
      </c>
      <c r="B34" s="5" t="str">
        <f>IFERROR(__xludf.DUMMYFUNCTION("""COMPUTED_VALUE"""),"中村 和弘")</f>
        <v>中村 和弘</v>
      </c>
      <c r="C34" s="5" t="str">
        <f>IFERROR(__xludf.DUMMYFUNCTION("""COMPUTED_VALUE"""),"なかむら かずひろ")</f>
        <v>なかむら かずひろ</v>
      </c>
      <c r="D34" s="5">
        <f>IFERROR(__xludf.DUMMYFUNCTION("""COMPUTED_VALUE"""),3.0)</f>
        <v>3</v>
      </c>
      <c r="E34" s="5" t="str">
        <f>IFERROR(__xludf.DUMMYFUNCTION("""COMPUTED_VALUE"""),"男")</f>
        <v>男</v>
      </c>
      <c r="F34" s="5" t="str">
        <f>IFERROR(__xludf.DUMMYFUNCTION("""COMPUTED_VALUE"""),"MUA")</f>
        <v>MUA</v>
      </c>
      <c r="G34" s="5" t="str">
        <f>IFERROR(__xludf.DUMMYFUNCTION("""COMPUTED_VALUE"""),"○出場")</f>
        <v>○出場</v>
      </c>
      <c r="H34" s="5">
        <f>IFERROR(__xludf.DUMMYFUNCTION("""COMPUTED_VALUE"""),519406.0)</f>
        <v>519406</v>
      </c>
      <c r="I34" s="5" t="str">
        <f>IFERROR(__xludf.DUMMYFUNCTION("""COMPUTED_VALUE"""),"○参加する")</f>
        <v>○参加する</v>
      </c>
      <c r="J34" s="5"/>
      <c r="K34" s="12">
        <f t="shared" si="2"/>
        <v>1</v>
      </c>
    </row>
    <row r="35" ht="19.5" customHeight="1">
      <c r="A35" s="5">
        <f>IFERROR(__xludf.DUMMYFUNCTION("""COMPUTED_VALUE"""),150612.0)</f>
        <v>150612</v>
      </c>
      <c r="B35" s="5" t="str">
        <f>IFERROR(__xludf.DUMMYFUNCTION("""COMPUTED_VALUE"""),"中盛雷也")</f>
        <v>中盛雷也</v>
      </c>
      <c r="C35" s="5" t="str">
        <f>IFERROR(__xludf.DUMMYFUNCTION("""COMPUTED_VALUE"""),"なかもりらいや")</f>
        <v>なかもりらいや</v>
      </c>
      <c r="D35" s="5">
        <f>IFERROR(__xludf.DUMMYFUNCTION("""COMPUTED_VALUE"""),3.0)</f>
        <v>3</v>
      </c>
      <c r="E35" s="5" t="str">
        <f>IFERROR(__xludf.DUMMYFUNCTION("""COMPUTED_VALUE"""),"男")</f>
        <v>男</v>
      </c>
      <c r="F35" s="5" t="str">
        <f>IFERROR(__xludf.DUMMYFUNCTION("""COMPUTED_VALUE"""),"MUA")</f>
        <v>MUA</v>
      </c>
      <c r="G35" s="5" t="str">
        <f>IFERROR(__xludf.DUMMYFUNCTION("""COMPUTED_VALUE"""),"○出場")</f>
        <v>○出場</v>
      </c>
      <c r="H35" s="5"/>
      <c r="I35" s="5" t="str">
        <f>IFERROR(__xludf.DUMMYFUNCTION("""COMPUTED_VALUE"""),"×参加しない")</f>
        <v>×参加しない</v>
      </c>
      <c r="J35" s="5"/>
      <c r="K35" s="12">
        <f t="shared" si="2"/>
        <v>1</v>
      </c>
    </row>
    <row r="36" ht="19.5" customHeight="1">
      <c r="A36" s="5">
        <f>IFERROR(__xludf.DUMMYFUNCTION("""COMPUTED_VALUE"""),50601.0)</f>
        <v>50601</v>
      </c>
      <c r="B36" s="5" t="str">
        <f>IFERROR(__xludf.DUMMYFUNCTION("""COMPUTED_VALUE"""),"飯田 健太")</f>
        <v>飯田 健太</v>
      </c>
      <c r="C36" s="5" t="str">
        <f>IFERROR(__xludf.DUMMYFUNCTION("""COMPUTED_VALUE"""),"いいだ けんた")</f>
        <v>いいだ けんた</v>
      </c>
      <c r="D36" s="5">
        <f>IFERROR(__xludf.DUMMYFUNCTION("""COMPUTED_VALUE"""),4.0)</f>
        <v>4</v>
      </c>
      <c r="E36" s="5" t="str">
        <f>IFERROR(__xludf.DUMMYFUNCTION("""COMPUTED_VALUE"""),"男")</f>
        <v>男</v>
      </c>
      <c r="F36" s="5" t="str">
        <f>IFERROR(__xludf.DUMMYFUNCTION("""COMPUTED_VALUE"""),"MUA")</f>
        <v>MUA</v>
      </c>
      <c r="G36" s="5" t="str">
        <f>IFERROR(__xludf.DUMMYFUNCTION("""COMPUTED_VALUE"""),"○出場")</f>
        <v>○出場</v>
      </c>
      <c r="H36" s="5"/>
      <c r="I36" s="5" t="str">
        <f>IFERROR(__xludf.DUMMYFUNCTION("""COMPUTED_VALUE"""),"×参加しない")</f>
        <v>×参加しない</v>
      </c>
      <c r="J36" s="5"/>
      <c r="K36" s="12">
        <f t="shared" si="2"/>
        <v>1</v>
      </c>
    </row>
    <row r="37" ht="19.5" customHeight="1">
      <c r="A37" s="5">
        <f>IFERROR(__xludf.DUMMYFUNCTION("""COMPUTED_VALUE"""),50602.0)</f>
        <v>50602</v>
      </c>
      <c r="B37" s="5" t="str">
        <f>IFERROR(__xludf.DUMMYFUNCTION("""COMPUTED_VALUE"""),"池田 馨")</f>
        <v>池田 馨</v>
      </c>
      <c r="C37" s="5" t="str">
        <f>IFERROR(__xludf.DUMMYFUNCTION("""COMPUTED_VALUE"""),"いけだ かをる")</f>
        <v>いけだ かをる</v>
      </c>
      <c r="D37" s="5">
        <f>IFERROR(__xludf.DUMMYFUNCTION("""COMPUTED_VALUE"""),4.0)</f>
        <v>4</v>
      </c>
      <c r="E37" s="5" t="str">
        <f>IFERROR(__xludf.DUMMYFUNCTION("""COMPUTED_VALUE"""),"男")</f>
        <v>男</v>
      </c>
      <c r="F37" s="5" t="str">
        <f>IFERROR(__xludf.DUMMYFUNCTION("""COMPUTED_VALUE"""),"×欠場")</f>
        <v>×欠場</v>
      </c>
      <c r="G37" s="5" t="str">
        <f>IFERROR(__xludf.DUMMYFUNCTION("""COMPUTED_VALUE"""),"×欠場")</f>
        <v>×欠場</v>
      </c>
      <c r="H37" s="5"/>
      <c r="I37" s="5" t="str">
        <f>IFERROR(__xludf.DUMMYFUNCTION("""COMPUTED_VALUE"""),"×参加しない")</f>
        <v>×参加しない</v>
      </c>
      <c r="J37" s="5"/>
      <c r="K37" s="12">
        <f t="shared" si="2"/>
        <v>0</v>
      </c>
    </row>
    <row r="38" ht="19.5" customHeight="1">
      <c r="A38" s="5">
        <f>IFERROR(__xludf.DUMMYFUNCTION("""COMPUTED_VALUE"""),50605.0)</f>
        <v>50605</v>
      </c>
      <c r="B38" s="5" t="str">
        <f>IFERROR(__xludf.DUMMYFUNCTION("""COMPUTED_VALUE"""),"鯰江 岳")</f>
        <v>鯰江 岳</v>
      </c>
      <c r="C38" s="5" t="str">
        <f>IFERROR(__xludf.DUMMYFUNCTION("""COMPUTED_VALUE"""),"なまずえ がく")</f>
        <v>なまずえ がく</v>
      </c>
      <c r="D38" s="5">
        <f>IFERROR(__xludf.DUMMYFUNCTION("""COMPUTED_VALUE"""),4.0)</f>
        <v>4</v>
      </c>
      <c r="E38" s="5" t="str">
        <f>IFERROR(__xludf.DUMMYFUNCTION("""COMPUTED_VALUE"""),"男")</f>
        <v>男</v>
      </c>
      <c r="F38" s="5" t="str">
        <f>IFERROR(__xludf.DUMMYFUNCTION("""COMPUTED_VALUE"""),"MUA")</f>
        <v>MUA</v>
      </c>
      <c r="G38" s="5" t="str">
        <f>IFERROR(__xludf.DUMMYFUNCTION("""COMPUTED_VALUE"""),"○出場")</f>
        <v>○出場</v>
      </c>
      <c r="H38" s="5"/>
      <c r="I38" s="5" t="str">
        <f>IFERROR(__xludf.DUMMYFUNCTION("""COMPUTED_VALUE"""),"×参加しない")</f>
        <v>×参加しない</v>
      </c>
      <c r="J38" s="5"/>
      <c r="K38" s="12">
        <f t="shared" si="2"/>
        <v>1</v>
      </c>
    </row>
    <row r="39" ht="19.5" customHeight="1">
      <c r="A39" s="5">
        <f>IFERROR(__xludf.DUMMYFUNCTION("""COMPUTED_VALUE"""),50606.0)</f>
        <v>50606</v>
      </c>
      <c r="B39" s="5" t="str">
        <f>IFERROR(__xludf.DUMMYFUNCTION("""COMPUTED_VALUE"""),"塩谷 光希")</f>
        <v>塩谷 光希</v>
      </c>
      <c r="C39" s="5" t="str">
        <f>IFERROR(__xludf.DUMMYFUNCTION("""COMPUTED_VALUE"""),"しおたに こうき")</f>
        <v>しおたに こうき</v>
      </c>
      <c r="D39" s="5">
        <f>IFERROR(__xludf.DUMMYFUNCTION("""COMPUTED_VALUE"""),4.0)</f>
        <v>4</v>
      </c>
      <c r="E39" s="5" t="str">
        <f>IFERROR(__xludf.DUMMYFUNCTION("""COMPUTED_VALUE"""),"男")</f>
        <v>男</v>
      </c>
      <c r="F39" s="5" t="str">
        <f>IFERROR(__xludf.DUMMYFUNCTION("""COMPUTED_VALUE"""),"×欠場")</f>
        <v>×欠場</v>
      </c>
      <c r="G39" s="5" t="str">
        <f>IFERROR(__xludf.DUMMYFUNCTION("""COMPUTED_VALUE"""),"×欠場")</f>
        <v>×欠場</v>
      </c>
      <c r="H39" s="5"/>
      <c r="I39" s="5" t="str">
        <f>IFERROR(__xludf.DUMMYFUNCTION("""COMPUTED_VALUE"""),"×参加しない")</f>
        <v>×参加しない</v>
      </c>
      <c r="J39" s="5"/>
      <c r="K39" s="12">
        <f t="shared" si="2"/>
        <v>0</v>
      </c>
    </row>
    <row r="40" ht="19.5" customHeight="1">
      <c r="A40" s="5">
        <f>IFERROR(__xludf.DUMMYFUNCTION("""COMPUTED_VALUE"""),50607.0)</f>
        <v>50607</v>
      </c>
      <c r="B40" s="5" t="str">
        <f>IFERROR(__xludf.DUMMYFUNCTION("""COMPUTED_VALUE"""),"濱中 俊太朗")</f>
        <v>濱中 俊太朗</v>
      </c>
      <c r="C40" s="5" t="str">
        <f>IFERROR(__xludf.DUMMYFUNCTION("""COMPUTED_VALUE"""),"はまなか しゅんたろう")</f>
        <v>はまなか しゅんたろう</v>
      </c>
      <c r="D40" s="5">
        <f>IFERROR(__xludf.DUMMYFUNCTION("""COMPUTED_VALUE"""),4.0)</f>
        <v>4</v>
      </c>
      <c r="E40" s="5" t="str">
        <f>IFERROR(__xludf.DUMMYFUNCTION("""COMPUTED_VALUE"""),"男")</f>
        <v>男</v>
      </c>
      <c r="F40" s="5" t="str">
        <f>IFERROR(__xludf.DUMMYFUNCTION("""COMPUTED_VALUE"""),"MUA")</f>
        <v>MUA</v>
      </c>
      <c r="G40" s="5" t="str">
        <f>IFERROR(__xludf.DUMMYFUNCTION("""COMPUTED_VALUE"""),"○出場")</f>
        <v>○出場</v>
      </c>
      <c r="H40" s="5"/>
      <c r="I40" s="5" t="str">
        <f>IFERROR(__xludf.DUMMYFUNCTION("""COMPUTED_VALUE"""),"×参加しない")</f>
        <v>×参加しない</v>
      </c>
      <c r="J40" s="5"/>
      <c r="K40" s="12">
        <f t="shared" si="2"/>
        <v>1</v>
      </c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12">
        <f t="shared" si="2"/>
        <v>0</v>
      </c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12">
        <f t="shared" si="2"/>
        <v>0</v>
      </c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12">
        <f t="shared" si="2"/>
        <v>0</v>
      </c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12">
        <f t="shared" si="2"/>
        <v>0</v>
      </c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2">
        <f t="shared" si="2"/>
        <v>0</v>
      </c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2">
        <f t="shared" si="2"/>
        <v>0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A2:E2"/>
    <mergeCell ref="A3:B3"/>
    <mergeCell ref="A4:A5"/>
    <mergeCell ref="A6:B6"/>
    <mergeCell ref="A7:B7"/>
    <mergeCell ref="A8:B8"/>
    <mergeCell ref="A12:J12"/>
    <mergeCell ref="P20:U20"/>
    <mergeCell ref="M21:U21"/>
    <mergeCell ref="R22:S22"/>
    <mergeCell ref="T22:U22"/>
    <mergeCell ref="R23:S23"/>
    <mergeCell ref="R24:S24"/>
    <mergeCell ref="R25:S25"/>
    <mergeCell ref="M12:U12"/>
    <mergeCell ref="M16:U16"/>
    <mergeCell ref="N17:O17"/>
    <mergeCell ref="P17:U17"/>
    <mergeCell ref="N18:O18"/>
    <mergeCell ref="P18:U18"/>
    <mergeCell ref="P19:U19"/>
    <mergeCell ref="M24:N24"/>
    <mergeCell ref="M25:N25"/>
    <mergeCell ref="M26:N26"/>
    <mergeCell ref="O25:P25"/>
    <mergeCell ref="O26:P26"/>
    <mergeCell ref="R26:S26"/>
    <mergeCell ref="N19:O19"/>
    <mergeCell ref="N20:O20"/>
    <mergeCell ref="M22:N22"/>
    <mergeCell ref="O22:P22"/>
    <mergeCell ref="M23:N23"/>
    <mergeCell ref="O23:P23"/>
    <mergeCell ref="O24:P24"/>
  </mergeCells>
  <printOptions/>
  <pageMargins bottom="0.75" footer="0.0" header="0.0" left="0.7" right="0.7" top="0.75"/>
  <pageSetup orientation="landscape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1919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13</v>
      </c>
      <c r="E4" s="7">
        <f t="shared" ref="E4:E8" si="1">C4*D4</f>
        <v>110500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1</v>
      </c>
      <c r="E5" s="7">
        <f t="shared" si="1"/>
        <v>8000</v>
      </c>
    </row>
    <row r="6" ht="19.5" customHeight="1">
      <c r="A6" s="2" t="s">
        <v>9</v>
      </c>
      <c r="B6" s="4"/>
      <c r="C6" s="7">
        <v>32700.0</v>
      </c>
      <c r="D6" s="5">
        <f>D4+D5</f>
        <v>14</v>
      </c>
      <c r="E6" s="7">
        <f t="shared" si="1"/>
        <v>457800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2</v>
      </c>
      <c r="E7" s="7">
        <f t="shared" si="1"/>
        <v>9000</v>
      </c>
    </row>
    <row r="8" ht="19.5" customHeight="1">
      <c r="A8" s="2" t="s">
        <v>11</v>
      </c>
      <c r="B8" s="4"/>
      <c r="C8" s="7">
        <v>500.0</v>
      </c>
      <c r="D8" s="5">
        <f>D4-COUNT(H14:H201)</f>
        <v>6</v>
      </c>
      <c r="E8" s="7">
        <f t="shared" si="1"/>
        <v>3000</v>
      </c>
    </row>
    <row r="9" ht="19.5" customHeight="1">
      <c r="A9" s="9"/>
      <c r="B9" s="9"/>
      <c r="C9" s="9"/>
      <c r="D9" s="10" t="s">
        <v>5</v>
      </c>
      <c r="E9" s="11">
        <f>SUM(E4:E8)</f>
        <v>588300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IFERROR(__xludf.DUMMYFUNCTION("FILTER('個人別エントリー'!C2:L1018,'個人別エントリー'!B2:B1018=A1)"),350701.0)</f>
        <v>350701</v>
      </c>
      <c r="B14" s="5" t="str">
        <f>IFERROR(__xludf.DUMMYFUNCTION("""COMPUTED_VALUE"""),"加藤慎太郎")</f>
        <v>加藤慎太郎</v>
      </c>
      <c r="C14" s="5" t="str">
        <f>IFERROR(__xludf.DUMMYFUNCTION("""COMPUTED_VALUE"""),"かとうしんたろう")</f>
        <v>かとうしんたろう</v>
      </c>
      <c r="D14" s="5">
        <f>IFERROR(__xludf.DUMMYFUNCTION("""COMPUTED_VALUE"""),1.0)</f>
        <v>1</v>
      </c>
      <c r="E14" s="5" t="str">
        <f>IFERROR(__xludf.DUMMYFUNCTION("""COMPUTED_VALUE"""),"男")</f>
        <v>男</v>
      </c>
      <c r="F14" s="5" t="str">
        <f>IFERROR(__xludf.DUMMYFUNCTION("""COMPUTED_VALUE"""),"×欠場")</f>
        <v>×欠場</v>
      </c>
      <c r="G14" s="5" t="str">
        <f>IFERROR(__xludf.DUMMYFUNCTION("""COMPUTED_VALUE"""),"×欠場")</f>
        <v>×欠場</v>
      </c>
      <c r="H14" s="5"/>
      <c r="I14" s="5" t="str">
        <f>IFERROR(__xludf.DUMMYFUNCTION("""COMPUTED_VALUE"""),"×参加しない")</f>
        <v>×参加しない</v>
      </c>
      <c r="J14" s="5"/>
      <c r="K14" s="12">
        <f t="shared" ref="K14:K201" si="2">IF(AND(OR(F14="×欠場",F14=""),OR(G14="×欠場",G14="")),0,1)</f>
        <v>0</v>
      </c>
      <c r="M14" s="5" t="str">
        <f>IFERROR(__xludf.DUMMYFUNCTION("FILTER('リレー内容'!$C$2:$K$51,'リレー内容'!$B$2:$B$51=A1)"),"○出場")</f>
        <v>○出場</v>
      </c>
      <c r="N14" s="5" t="str">
        <f>IFERROR(__xludf.DUMMYFUNCTION("""COMPUTED_VALUE"""),"○出場")</f>
        <v>○出場</v>
      </c>
      <c r="O14" s="5">
        <f>IFERROR(__xludf.DUMMYFUNCTION("""COMPUTED_VALUE"""),1.0)</f>
        <v>1</v>
      </c>
      <c r="P14" s="5">
        <f>IFERROR(__xludf.DUMMYFUNCTION("""COMPUTED_VALUE"""),0.0)</f>
        <v>0</v>
      </c>
      <c r="Q14" s="5">
        <f>IFERROR(__xludf.DUMMYFUNCTION("""COMPUTED_VALUE"""),1.0)</f>
        <v>1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IFERROR(__xludf.DUMMYFUNCTION("""COMPUTED_VALUE"""),350702.0)</f>
        <v>350702</v>
      </c>
      <c r="B15" s="5" t="str">
        <f>IFERROR(__xludf.DUMMYFUNCTION("""COMPUTED_VALUE"""),"柴田漱司")</f>
        <v>柴田漱司</v>
      </c>
      <c r="C15" s="5" t="str">
        <f>IFERROR(__xludf.DUMMYFUNCTION("""COMPUTED_VALUE"""),"しばたそうし")</f>
        <v>しばたそうし</v>
      </c>
      <c r="D15" s="5">
        <f>IFERROR(__xludf.DUMMYFUNCTION("""COMPUTED_VALUE"""),1.0)</f>
        <v>1</v>
      </c>
      <c r="E15" s="5" t="str">
        <f>IFERROR(__xludf.DUMMYFUNCTION("""COMPUTED_VALUE"""),"男")</f>
        <v>男</v>
      </c>
      <c r="F15" s="5" t="str">
        <f>IFERROR(__xludf.DUMMYFUNCTION("""COMPUTED_VALUE"""),"×欠場")</f>
        <v>×欠場</v>
      </c>
      <c r="G15" s="5" t="str">
        <f>IFERROR(__xludf.DUMMYFUNCTION("""COMPUTED_VALUE"""),"×欠場")</f>
        <v>×欠場</v>
      </c>
      <c r="H15" s="5"/>
      <c r="I15" s="5" t="str">
        <f>IFERROR(__xludf.DUMMYFUNCTION("""COMPUTED_VALUE"""),"×参加しない")</f>
        <v>×参加しない</v>
      </c>
      <c r="J15" s="5"/>
      <c r="K15" s="12">
        <f t="shared" si="2"/>
        <v>0</v>
      </c>
    </row>
    <row r="16" ht="19.5" customHeight="1">
      <c r="A16" s="5">
        <f>IFERROR(__xludf.DUMMYFUNCTION("""COMPUTED_VALUE"""),350703.0)</f>
        <v>350703</v>
      </c>
      <c r="B16" s="5" t="str">
        <f>IFERROR(__xludf.DUMMYFUNCTION("""COMPUTED_VALUE"""),"KANG HANSEO")</f>
        <v>KANG HANSEO</v>
      </c>
      <c r="C16" s="5" t="str">
        <f>IFERROR(__xludf.DUMMYFUNCTION("""COMPUTED_VALUE"""),"かん　はんそ")</f>
        <v>かん　はんそ</v>
      </c>
      <c r="D16" s="5">
        <f>IFERROR(__xludf.DUMMYFUNCTION("""COMPUTED_VALUE"""),1.0)</f>
        <v>1</v>
      </c>
      <c r="E16" s="5" t="str">
        <f>IFERROR(__xludf.DUMMYFUNCTION("""COMPUTED_VALUE"""),"女")</f>
        <v>女</v>
      </c>
      <c r="F16" s="5" t="str">
        <f>IFERROR(__xludf.DUMMYFUNCTION("""COMPUTED_VALUE"""),"×欠場")</f>
        <v>×欠場</v>
      </c>
      <c r="G16" s="5" t="str">
        <f>IFERROR(__xludf.DUMMYFUNCTION("""COMPUTED_VALUE"""),"×欠場")</f>
        <v>×欠場</v>
      </c>
      <c r="H16" s="5"/>
      <c r="I16" s="5" t="str">
        <f>IFERROR(__xludf.DUMMYFUNCTION("""COMPUTED_VALUE"""),"×参加しない")</f>
        <v>×参加しない</v>
      </c>
      <c r="J16" s="5"/>
      <c r="K16" s="12">
        <f t="shared" si="2"/>
        <v>0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>
        <f>IFERROR(__xludf.DUMMYFUNCTION("""COMPUTED_VALUE"""),350704.0)</f>
        <v>350704</v>
      </c>
      <c r="B17" s="5" t="str">
        <f>IFERROR(__xludf.DUMMYFUNCTION("""COMPUTED_VALUE"""),"鈴木雄太郎")</f>
        <v>鈴木雄太郎</v>
      </c>
      <c r="C17" s="5" t="str">
        <f>IFERROR(__xludf.DUMMYFUNCTION("""COMPUTED_VALUE"""),"すずきゆうたろう")</f>
        <v>すずきゆうたろう</v>
      </c>
      <c r="D17" s="5">
        <f>IFERROR(__xludf.DUMMYFUNCTION("""COMPUTED_VALUE"""),1.0)</f>
        <v>1</v>
      </c>
      <c r="E17" s="5" t="str">
        <f>IFERROR(__xludf.DUMMYFUNCTION("""COMPUTED_VALUE"""),"男")</f>
        <v>男</v>
      </c>
      <c r="F17" s="5" t="str">
        <f>IFERROR(__xludf.DUMMYFUNCTION("""COMPUTED_VALUE"""),"×欠場")</f>
        <v>×欠場</v>
      </c>
      <c r="G17" s="5" t="str">
        <f>IFERROR(__xludf.DUMMYFUNCTION("""COMPUTED_VALUE"""),"×欠場")</f>
        <v>×欠場</v>
      </c>
      <c r="H17" s="5"/>
      <c r="I17" s="5" t="str">
        <f>IFERROR(__xludf.DUMMYFUNCTION("""COMPUTED_VALUE"""),"×参加しない")</f>
        <v>×参加しない</v>
      </c>
      <c r="J17" s="5"/>
      <c r="K17" s="12">
        <f t="shared" si="2"/>
        <v>0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>
        <f>IFERROR(__xludf.DUMMYFUNCTION("""COMPUTED_VALUE"""),350705.0)</f>
        <v>350705</v>
      </c>
      <c r="B18" s="5" t="str">
        <f>IFERROR(__xludf.DUMMYFUNCTION("""COMPUTED_VALUE"""),"鳥井田恵璃")</f>
        <v>鳥井田恵璃</v>
      </c>
      <c r="C18" s="5" t="str">
        <f>IFERROR(__xludf.DUMMYFUNCTION("""COMPUTED_VALUE"""),"とりいだけいり")</f>
        <v>とりいだけいり</v>
      </c>
      <c r="D18" s="5">
        <f>IFERROR(__xludf.DUMMYFUNCTION("""COMPUTED_VALUE"""),1.0)</f>
        <v>1</v>
      </c>
      <c r="E18" s="5" t="str">
        <f>IFERROR(__xludf.DUMMYFUNCTION("""COMPUTED_VALUE"""),"女")</f>
        <v>女</v>
      </c>
      <c r="F18" s="5" t="str">
        <f>IFERROR(__xludf.DUMMYFUNCTION("""COMPUTED_VALUE"""),"×欠場")</f>
        <v>×欠場</v>
      </c>
      <c r="G18" s="5" t="str">
        <f>IFERROR(__xludf.DUMMYFUNCTION("""COMPUTED_VALUE"""),"×欠場")</f>
        <v>×欠場</v>
      </c>
      <c r="H18" s="5"/>
      <c r="I18" s="5" t="str">
        <f>IFERROR(__xludf.DUMMYFUNCTION("""COMPUTED_VALUE"""),"×参加しない")</f>
        <v>×参加しない</v>
      </c>
      <c r="J18" s="5"/>
      <c r="K18" s="12">
        <f t="shared" si="2"/>
        <v>0</v>
      </c>
      <c r="M18" s="5" t="s">
        <v>32</v>
      </c>
      <c r="N18" s="2" t="s">
        <v>1699</v>
      </c>
      <c r="O18" s="4"/>
      <c r="P18" s="2" t="s">
        <v>2336</v>
      </c>
      <c r="Q18" s="3"/>
      <c r="R18" s="3"/>
      <c r="S18" s="3"/>
      <c r="T18" s="3"/>
      <c r="U18" s="4"/>
    </row>
    <row r="19" ht="19.5" customHeight="1">
      <c r="A19" s="5">
        <f>IFERROR(__xludf.DUMMYFUNCTION("""COMPUTED_VALUE"""),350706.0)</f>
        <v>350706</v>
      </c>
      <c r="B19" s="5" t="str">
        <f>IFERROR(__xludf.DUMMYFUNCTION("""COMPUTED_VALUE"""),"村上優人")</f>
        <v>村上優人</v>
      </c>
      <c r="C19" s="5" t="str">
        <f>IFERROR(__xludf.DUMMYFUNCTION("""COMPUTED_VALUE"""),"むらかみゆうと")</f>
        <v>むらかみゆうと</v>
      </c>
      <c r="D19" s="5">
        <f>IFERROR(__xludf.DUMMYFUNCTION("""COMPUTED_VALUE"""),1.0)</f>
        <v>1</v>
      </c>
      <c r="E19" s="5" t="str">
        <f>IFERROR(__xludf.DUMMYFUNCTION("""COMPUTED_VALUE"""),"男")</f>
        <v>男</v>
      </c>
      <c r="F19" s="5" t="str">
        <f>IFERROR(__xludf.DUMMYFUNCTION("""COMPUTED_VALUE"""),"×欠場")</f>
        <v>×欠場</v>
      </c>
      <c r="G19" s="5" t="str">
        <f>IFERROR(__xludf.DUMMYFUNCTION("""COMPUTED_VALUE"""),"×欠場")</f>
        <v>×欠場</v>
      </c>
      <c r="H19" s="5"/>
      <c r="I19" s="5" t="str">
        <f>IFERROR(__xludf.DUMMYFUNCTION("""COMPUTED_VALUE"""),"×参加しない")</f>
        <v>×参加しない</v>
      </c>
      <c r="J19" s="5"/>
      <c r="K19" s="12">
        <f t="shared" si="2"/>
        <v>0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>
        <f>IFERROR(__xludf.DUMMYFUNCTION("""COMPUTED_VALUE"""),350707.0)</f>
        <v>350707</v>
      </c>
      <c r="B20" s="5" t="str">
        <f>IFERROR(__xludf.DUMMYFUNCTION("""COMPUTED_VALUE"""),"幸地祐弥")</f>
        <v>幸地祐弥</v>
      </c>
      <c r="C20" s="5" t="str">
        <f>IFERROR(__xludf.DUMMYFUNCTION("""COMPUTED_VALUE"""),"こうちゆうや")</f>
        <v>こうちゆうや</v>
      </c>
      <c r="D20" s="5">
        <f>IFERROR(__xludf.DUMMYFUNCTION("""COMPUTED_VALUE"""),1.0)</f>
        <v>1</v>
      </c>
      <c r="E20" s="5" t="str">
        <f>IFERROR(__xludf.DUMMYFUNCTION("""COMPUTED_VALUE"""),"男")</f>
        <v>男</v>
      </c>
      <c r="F20" s="5" t="str">
        <f>IFERROR(__xludf.DUMMYFUNCTION("""COMPUTED_VALUE"""),"×欠場")</f>
        <v>×欠場</v>
      </c>
      <c r="G20" s="5" t="str">
        <f>IFERROR(__xludf.DUMMYFUNCTION("""COMPUTED_VALUE"""),"×欠場")</f>
        <v>×欠場</v>
      </c>
      <c r="H20" s="5"/>
      <c r="I20" s="5" t="str">
        <f>IFERROR(__xludf.DUMMYFUNCTION("""COMPUTED_VALUE"""),"×参加しない")</f>
        <v>×参加しない</v>
      </c>
      <c r="J20" s="5"/>
      <c r="K20" s="12">
        <f t="shared" si="2"/>
        <v>0</v>
      </c>
    </row>
    <row r="21" ht="19.5" customHeight="1">
      <c r="A21" s="5">
        <f>IFERROR(__xludf.DUMMYFUNCTION("""COMPUTED_VALUE"""),350708.0)</f>
        <v>350708</v>
      </c>
      <c r="B21" s="5" t="str">
        <f>IFERROR(__xludf.DUMMYFUNCTION("""COMPUTED_VALUE"""),"有松秀明")</f>
        <v>有松秀明</v>
      </c>
      <c r="C21" s="5" t="str">
        <f>IFERROR(__xludf.DUMMYFUNCTION("""COMPUTED_VALUE"""),"ありまつひであき")</f>
        <v>ありまつひであき</v>
      </c>
      <c r="D21" s="5">
        <f>IFERROR(__xludf.DUMMYFUNCTION("""COMPUTED_VALUE"""),1.0)</f>
        <v>1</v>
      </c>
      <c r="E21" s="5" t="str">
        <f>IFERROR(__xludf.DUMMYFUNCTION("""COMPUTED_VALUE"""),"男")</f>
        <v>男</v>
      </c>
      <c r="F21" s="5" t="str">
        <f>IFERROR(__xludf.DUMMYFUNCTION("""COMPUTED_VALUE"""),"×欠場")</f>
        <v>×欠場</v>
      </c>
      <c r="G21" s="5" t="str">
        <f>IFERROR(__xludf.DUMMYFUNCTION("""COMPUTED_VALUE"""),"×欠場")</f>
        <v>×欠場</v>
      </c>
      <c r="H21" s="5"/>
      <c r="I21" s="5" t="str">
        <f>IFERROR(__xludf.DUMMYFUNCTION("""COMPUTED_VALUE"""),"×参加しない")</f>
        <v>×参加しない</v>
      </c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>
        <f>IFERROR(__xludf.DUMMYFUNCTION("""COMPUTED_VALUE"""),350709.0)</f>
        <v>350709</v>
      </c>
      <c r="B22" s="5" t="str">
        <f>IFERROR(__xludf.DUMMYFUNCTION("""COMPUTED_VALUE"""),"中嶋伸哉")</f>
        <v>中嶋伸哉</v>
      </c>
      <c r="C22" s="5" t="str">
        <f>IFERROR(__xludf.DUMMYFUNCTION("""COMPUTED_VALUE"""),"なかじましんや")</f>
        <v>なかじましんや</v>
      </c>
      <c r="D22" s="5">
        <f>IFERROR(__xludf.DUMMYFUNCTION("""COMPUTED_VALUE"""),1.0)</f>
        <v>1</v>
      </c>
      <c r="E22" s="5" t="str">
        <f>IFERROR(__xludf.DUMMYFUNCTION("""COMPUTED_VALUE"""),"男")</f>
        <v>男</v>
      </c>
      <c r="F22" s="5" t="str">
        <f>IFERROR(__xludf.DUMMYFUNCTION("""COMPUTED_VALUE"""),"MUF")</f>
        <v>MUF</v>
      </c>
      <c r="G22" s="5" t="str">
        <f>IFERROR(__xludf.DUMMYFUNCTION("""COMPUTED_VALUE"""),"○出場")</f>
        <v>○出場</v>
      </c>
      <c r="H22" s="5"/>
      <c r="I22" s="5" t="str">
        <f>IFERROR(__xludf.DUMMYFUNCTION("""COMPUTED_VALUE"""),"○参加する")</f>
        <v>○参加する</v>
      </c>
      <c r="J22" s="5"/>
      <c r="K22" s="12">
        <f t="shared" si="2"/>
        <v>1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>
        <f>IFERROR(__xludf.DUMMYFUNCTION("""COMPUTED_VALUE"""),350710.0)</f>
        <v>350710</v>
      </c>
      <c r="B23" s="5" t="str">
        <f>IFERROR(__xludf.DUMMYFUNCTION("""COMPUTED_VALUE"""),"奥田想")</f>
        <v>奥田想</v>
      </c>
      <c r="C23" s="5" t="str">
        <f>IFERROR(__xludf.DUMMYFUNCTION("""COMPUTED_VALUE"""),"おくだそう")</f>
        <v>おくだそう</v>
      </c>
      <c r="D23" s="5">
        <f>IFERROR(__xludf.DUMMYFUNCTION("""COMPUTED_VALUE"""),1.0)</f>
        <v>1</v>
      </c>
      <c r="E23" s="5" t="str">
        <f>IFERROR(__xludf.DUMMYFUNCTION("""COMPUTED_VALUE"""),"男")</f>
        <v>男</v>
      </c>
      <c r="F23" s="5" t="str">
        <f>IFERROR(__xludf.DUMMYFUNCTION("""COMPUTED_VALUE"""),"×欠場")</f>
        <v>×欠場</v>
      </c>
      <c r="G23" s="5" t="str">
        <f>IFERROR(__xludf.DUMMYFUNCTION("""COMPUTED_VALUE"""),"×欠場")</f>
        <v>×欠場</v>
      </c>
      <c r="H23" s="5"/>
      <c r="I23" s="5" t="str">
        <f>IFERROR(__xludf.DUMMYFUNCTION("""COMPUTED_VALUE"""),"×参加しない")</f>
        <v>×参加しない</v>
      </c>
      <c r="J23" s="5"/>
      <c r="K23" s="12">
        <f t="shared" si="2"/>
        <v>0</v>
      </c>
      <c r="M23" s="2" t="str">
        <f>IFERROR(__xludf.DUMMYFUNCTION("FILTER('オフィシャル'!$B$2:$B$65,'オフィシャル'!$A$2:$A$65=A1)"),"上田皓一朗")</f>
        <v>上田皓一朗</v>
      </c>
      <c r="N23" s="4"/>
      <c r="O23" s="2" t="str">
        <f>IFERROR(__xludf.DUMMYFUNCTION("FILTER('オフィシャル'!$C$2:$C$65,'オフィシャル'!$A$2:$A$65=A1)"),"うえだこういちろう")</f>
        <v>うえだこういちろう</v>
      </c>
      <c r="P23" s="3"/>
      <c r="Q23" s="5" t="str">
        <f>IFERROR(__xludf.DUMMYFUNCTION("FILTER('オフィシャル'!$D$2:$D$65,'オフィシャル'!$A$2:$A$65=A1)"),"男")</f>
        <v>男</v>
      </c>
      <c r="R23" s="2" t="str">
        <f>IFERROR(__xludf.DUMMYFUNCTION("FILTER('オフィシャル'!$E$2:$E$65,'オフィシャル'!$A$2:$A$65=A1)"),"○する")</f>
        <v>○する</v>
      </c>
      <c r="S23" s="4"/>
      <c r="T23" s="14" t="str">
        <f>IFERROR(__xludf.DUMMYFUNCTION("FILTER('オフィシャル'!$F$2:$F$65,'オフィシャル'!$A$2:$A$65=A1)"),"")</f>
        <v/>
      </c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>
        <f>IFERROR(__xludf.DUMMYFUNCTION("""COMPUTED_VALUE"""),350711.0)</f>
        <v>350711</v>
      </c>
      <c r="B24" s="5" t="str">
        <f>IFERROR(__xludf.DUMMYFUNCTION("""COMPUTED_VALUE"""),"小司凛音")</f>
        <v>小司凛音</v>
      </c>
      <c r="C24" s="5" t="str">
        <f>IFERROR(__xludf.DUMMYFUNCTION("""COMPUTED_VALUE"""),"しょうじりんね")</f>
        <v>しょうじりんね</v>
      </c>
      <c r="D24" s="5">
        <f>IFERROR(__xludf.DUMMYFUNCTION("""COMPUTED_VALUE"""),1.0)</f>
        <v>1</v>
      </c>
      <c r="E24" s="5" t="str">
        <f>IFERROR(__xludf.DUMMYFUNCTION("""COMPUTED_VALUE"""),"女")</f>
        <v>女</v>
      </c>
      <c r="F24" s="5" t="str">
        <f>IFERROR(__xludf.DUMMYFUNCTION("""COMPUTED_VALUE"""),"WUF")</f>
        <v>WUF</v>
      </c>
      <c r="G24" s="5" t="str">
        <f>IFERROR(__xludf.DUMMYFUNCTION("""COMPUTED_VALUE"""),"○出場")</f>
        <v>○出場</v>
      </c>
      <c r="H24" s="5"/>
      <c r="I24" s="5" t="str">
        <f>IFERROR(__xludf.DUMMYFUNCTION("""COMPUTED_VALUE"""),"○参加する")</f>
        <v>○参加する</v>
      </c>
      <c r="J24" s="5"/>
      <c r="K24" s="12">
        <f t="shared" si="2"/>
        <v>1</v>
      </c>
      <c r="M24" s="2"/>
      <c r="N24" s="4"/>
      <c r="O24" s="2"/>
      <c r="P24" s="3"/>
      <c r="Q24" s="5"/>
      <c r="R24" s="2"/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>
        <f>IFERROR(__xludf.DUMMYFUNCTION("""COMPUTED_VALUE"""),350712.0)</f>
        <v>350712</v>
      </c>
      <c r="B25" s="5" t="str">
        <f>IFERROR(__xludf.DUMMYFUNCTION("""COMPUTED_VALUE"""),"山下展平")</f>
        <v>山下展平</v>
      </c>
      <c r="C25" s="5" t="str">
        <f>IFERROR(__xludf.DUMMYFUNCTION("""COMPUTED_VALUE"""),"やましたてんぺい")</f>
        <v>やましたてんぺい</v>
      </c>
      <c r="D25" s="5">
        <f>IFERROR(__xludf.DUMMYFUNCTION("""COMPUTED_VALUE"""),1.0)</f>
        <v>1</v>
      </c>
      <c r="E25" s="5" t="str">
        <f>IFERROR(__xludf.DUMMYFUNCTION("""COMPUTED_VALUE"""),"男")</f>
        <v>男</v>
      </c>
      <c r="F25" s="5" t="str">
        <f>IFERROR(__xludf.DUMMYFUNCTION("""COMPUTED_VALUE"""),"×欠場")</f>
        <v>×欠場</v>
      </c>
      <c r="G25" s="5" t="str">
        <f>IFERROR(__xludf.DUMMYFUNCTION("""COMPUTED_VALUE"""),"×欠場")</f>
        <v>×欠場</v>
      </c>
      <c r="H25" s="5"/>
      <c r="I25" s="5" t="str">
        <f>IFERROR(__xludf.DUMMYFUNCTION("""COMPUTED_VALUE"""),"×参加しない")</f>
        <v>×参加しない</v>
      </c>
      <c r="J25" s="5"/>
      <c r="K25" s="12">
        <f t="shared" si="2"/>
        <v>0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>
        <f>IFERROR(__xludf.DUMMYFUNCTION("""COMPUTED_VALUE"""),350713.0)</f>
        <v>350713</v>
      </c>
      <c r="B26" s="5" t="str">
        <f>IFERROR(__xludf.DUMMYFUNCTION("""COMPUTED_VALUE"""),"緑川新大")</f>
        <v>緑川新大</v>
      </c>
      <c r="C26" s="5" t="str">
        <f>IFERROR(__xludf.DUMMYFUNCTION("""COMPUTED_VALUE"""),"みどりかわあらた")</f>
        <v>みどりかわあらた</v>
      </c>
      <c r="D26" s="5">
        <f>IFERROR(__xludf.DUMMYFUNCTION("""COMPUTED_VALUE"""),1.0)</f>
        <v>1</v>
      </c>
      <c r="E26" s="5" t="str">
        <f>IFERROR(__xludf.DUMMYFUNCTION("""COMPUTED_VALUE"""),"男")</f>
        <v>男</v>
      </c>
      <c r="F26" s="5" t="str">
        <f>IFERROR(__xludf.DUMMYFUNCTION("""COMPUTED_VALUE"""),"×欠場")</f>
        <v>×欠場</v>
      </c>
      <c r="G26" s="5" t="str">
        <f>IFERROR(__xludf.DUMMYFUNCTION("""COMPUTED_VALUE"""),"×欠場")</f>
        <v>×欠場</v>
      </c>
      <c r="H26" s="5"/>
      <c r="I26" s="5" t="str">
        <f>IFERROR(__xludf.DUMMYFUNCTION("""COMPUTED_VALUE"""),"×参加しない")</f>
        <v>×参加しない</v>
      </c>
      <c r="J26" s="5"/>
      <c r="K26" s="12">
        <f t="shared" si="2"/>
        <v>0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>
        <f>IFERROR(__xludf.DUMMYFUNCTION("""COMPUTED_VALUE"""),350714.0)</f>
        <v>350714</v>
      </c>
      <c r="B27" s="5" t="str">
        <f>IFERROR(__xludf.DUMMYFUNCTION("""COMPUTED_VALUE"""),"川上陽平")</f>
        <v>川上陽平</v>
      </c>
      <c r="C27" s="5" t="str">
        <f>IFERROR(__xludf.DUMMYFUNCTION("""COMPUTED_VALUE"""),"かわかみようへい")</f>
        <v>かわかみようへい</v>
      </c>
      <c r="D27" s="5">
        <f>IFERROR(__xludf.DUMMYFUNCTION("""COMPUTED_VALUE"""),1.0)</f>
        <v>1</v>
      </c>
      <c r="E27" s="5" t="str">
        <f>IFERROR(__xludf.DUMMYFUNCTION("""COMPUTED_VALUE"""),"男")</f>
        <v>男</v>
      </c>
      <c r="F27" s="5" t="str">
        <f>IFERROR(__xludf.DUMMYFUNCTION("""COMPUTED_VALUE"""),"×欠場")</f>
        <v>×欠場</v>
      </c>
      <c r="G27" s="5" t="str">
        <f>IFERROR(__xludf.DUMMYFUNCTION("""COMPUTED_VALUE"""),"×欠場")</f>
        <v>×欠場</v>
      </c>
      <c r="H27" s="5"/>
      <c r="I27" s="5" t="str">
        <f>IFERROR(__xludf.DUMMYFUNCTION("""COMPUTED_VALUE"""),"×参加しない")</f>
        <v>×参加しない</v>
      </c>
      <c r="J27" s="5"/>
      <c r="K27" s="12">
        <f t="shared" si="2"/>
        <v>0</v>
      </c>
    </row>
    <row r="28" ht="19.5" customHeight="1">
      <c r="A28" s="5">
        <f>IFERROR(__xludf.DUMMYFUNCTION("""COMPUTED_VALUE"""),350715.0)</f>
        <v>350715</v>
      </c>
      <c r="B28" s="5" t="str">
        <f>IFERROR(__xludf.DUMMYFUNCTION("""COMPUTED_VALUE"""),"中島美結")</f>
        <v>中島美結</v>
      </c>
      <c r="C28" s="5" t="str">
        <f>IFERROR(__xludf.DUMMYFUNCTION("""COMPUTED_VALUE"""),"なかじまみゆ")</f>
        <v>なかじまみゆ</v>
      </c>
      <c r="D28" s="5">
        <f>IFERROR(__xludf.DUMMYFUNCTION("""COMPUTED_VALUE"""),1.0)</f>
        <v>1</v>
      </c>
      <c r="E28" s="5" t="str">
        <f>IFERROR(__xludf.DUMMYFUNCTION("""COMPUTED_VALUE"""),"女")</f>
        <v>女</v>
      </c>
      <c r="F28" s="5" t="str">
        <f>IFERROR(__xludf.DUMMYFUNCTION("""COMPUTED_VALUE"""),"WUF")</f>
        <v>WUF</v>
      </c>
      <c r="G28" s="5" t="str">
        <f>IFERROR(__xludf.DUMMYFUNCTION("""COMPUTED_VALUE"""),"○出場")</f>
        <v>○出場</v>
      </c>
      <c r="H28" s="5"/>
      <c r="I28" s="5" t="str">
        <f>IFERROR(__xludf.DUMMYFUNCTION("""COMPUTED_VALUE"""),"○参加する")</f>
        <v>○参加する</v>
      </c>
      <c r="J28" s="5"/>
      <c r="K28" s="12">
        <f t="shared" si="2"/>
        <v>1</v>
      </c>
    </row>
    <row r="29" ht="19.5" customHeight="1">
      <c r="A29" s="5">
        <f>IFERROR(__xludf.DUMMYFUNCTION("""COMPUTED_VALUE"""),350716.0)</f>
        <v>350716</v>
      </c>
      <c r="B29" s="5" t="str">
        <f>IFERROR(__xludf.DUMMYFUNCTION("""COMPUTED_VALUE"""),"西沢雄登")</f>
        <v>西沢雄登</v>
      </c>
      <c r="C29" s="5" t="str">
        <f>IFERROR(__xludf.DUMMYFUNCTION("""COMPUTED_VALUE"""),"にしざわゆうと")</f>
        <v>にしざわゆうと</v>
      </c>
      <c r="D29" s="5">
        <f>IFERROR(__xludf.DUMMYFUNCTION("""COMPUTED_VALUE"""),1.0)</f>
        <v>1</v>
      </c>
      <c r="E29" s="5" t="str">
        <f>IFERROR(__xludf.DUMMYFUNCTION("""COMPUTED_VALUE"""),"男")</f>
        <v>男</v>
      </c>
      <c r="F29" s="5" t="str">
        <f>IFERROR(__xludf.DUMMYFUNCTION("""COMPUTED_VALUE"""),"×欠場")</f>
        <v>×欠場</v>
      </c>
      <c r="G29" s="5" t="str">
        <f>IFERROR(__xludf.DUMMYFUNCTION("""COMPUTED_VALUE"""),"×欠場")</f>
        <v>×欠場</v>
      </c>
      <c r="H29" s="5"/>
      <c r="I29" s="5" t="str">
        <f>IFERROR(__xludf.DUMMYFUNCTION("""COMPUTED_VALUE"""),"×参加しない")</f>
        <v>×参加しない</v>
      </c>
      <c r="J29" s="5"/>
      <c r="K29" s="12">
        <f t="shared" si="2"/>
        <v>0</v>
      </c>
    </row>
    <row r="30" ht="19.5" customHeight="1">
      <c r="A30" s="5">
        <f>IFERROR(__xludf.DUMMYFUNCTION("""COMPUTED_VALUE"""),350717.0)</f>
        <v>350717</v>
      </c>
      <c r="B30" s="5" t="str">
        <f>IFERROR(__xludf.DUMMYFUNCTION("""COMPUTED_VALUE"""),"村上瑠璃")</f>
        <v>村上瑠璃</v>
      </c>
      <c r="C30" s="5" t="str">
        <f>IFERROR(__xludf.DUMMYFUNCTION("""COMPUTED_VALUE"""),"むらかみるり")</f>
        <v>むらかみるり</v>
      </c>
      <c r="D30" s="5">
        <f>IFERROR(__xludf.DUMMYFUNCTION("""COMPUTED_VALUE"""),1.0)</f>
        <v>1</v>
      </c>
      <c r="E30" s="5" t="str">
        <f>IFERROR(__xludf.DUMMYFUNCTION("""COMPUTED_VALUE"""),"女")</f>
        <v>女</v>
      </c>
      <c r="F30" s="5" t="str">
        <f>IFERROR(__xludf.DUMMYFUNCTION("""COMPUTED_VALUE"""),"×欠場")</f>
        <v>×欠場</v>
      </c>
      <c r="G30" s="5" t="str">
        <f>IFERROR(__xludf.DUMMYFUNCTION("""COMPUTED_VALUE"""),"×欠場")</f>
        <v>×欠場</v>
      </c>
      <c r="H30" s="5"/>
      <c r="I30" s="5" t="str">
        <f>IFERROR(__xludf.DUMMYFUNCTION("""COMPUTED_VALUE"""),"×参加しない")</f>
        <v>×参加しない</v>
      </c>
      <c r="J30" s="5"/>
      <c r="K30" s="12">
        <f t="shared" si="2"/>
        <v>0</v>
      </c>
    </row>
    <row r="31" ht="19.5" customHeight="1">
      <c r="A31" s="5">
        <f>IFERROR(__xludf.DUMMYFUNCTION("""COMPUTED_VALUE"""),350718.0)</f>
        <v>350718</v>
      </c>
      <c r="B31" s="5" t="str">
        <f>IFERROR(__xludf.DUMMYFUNCTION("""COMPUTED_VALUE"""),"三輪優梨子")</f>
        <v>三輪優梨子</v>
      </c>
      <c r="C31" s="5" t="str">
        <f>IFERROR(__xludf.DUMMYFUNCTION("""COMPUTED_VALUE"""),"みわゆりこ")</f>
        <v>みわゆりこ</v>
      </c>
      <c r="D31" s="5">
        <f>IFERROR(__xludf.DUMMYFUNCTION("""COMPUTED_VALUE"""),1.0)</f>
        <v>1</v>
      </c>
      <c r="E31" s="5" t="str">
        <f>IFERROR(__xludf.DUMMYFUNCTION("""COMPUTED_VALUE"""),"女")</f>
        <v>女</v>
      </c>
      <c r="F31" s="5" t="str">
        <f>IFERROR(__xludf.DUMMYFUNCTION("""COMPUTED_VALUE"""),"×欠場")</f>
        <v>×欠場</v>
      </c>
      <c r="G31" s="5" t="str">
        <f>IFERROR(__xludf.DUMMYFUNCTION("""COMPUTED_VALUE"""),"×欠場")</f>
        <v>×欠場</v>
      </c>
      <c r="H31" s="5"/>
      <c r="I31" s="5" t="str">
        <f>IFERROR(__xludf.DUMMYFUNCTION("""COMPUTED_VALUE"""),"×参加しない")</f>
        <v>×参加しない</v>
      </c>
      <c r="J31" s="5"/>
      <c r="K31" s="12">
        <f t="shared" si="2"/>
        <v>0</v>
      </c>
    </row>
    <row r="32" ht="19.5" customHeight="1">
      <c r="A32" s="5">
        <f>IFERROR(__xludf.DUMMYFUNCTION("""COMPUTED_VALUE"""),350719.0)</f>
        <v>350719</v>
      </c>
      <c r="B32" s="5" t="str">
        <f>IFERROR(__xludf.DUMMYFUNCTION("""COMPUTED_VALUE"""),"中村直樹")</f>
        <v>中村直樹</v>
      </c>
      <c r="C32" s="5" t="str">
        <f>IFERROR(__xludf.DUMMYFUNCTION("""COMPUTED_VALUE"""),"なかむらなおき")</f>
        <v>なかむらなおき</v>
      </c>
      <c r="D32" s="5">
        <f>IFERROR(__xludf.DUMMYFUNCTION("""COMPUTED_VALUE"""),1.0)</f>
        <v>1</v>
      </c>
      <c r="E32" s="5" t="str">
        <f>IFERROR(__xludf.DUMMYFUNCTION("""COMPUTED_VALUE"""),"男")</f>
        <v>男</v>
      </c>
      <c r="F32" s="5" t="str">
        <f>IFERROR(__xludf.DUMMYFUNCTION("""COMPUTED_VALUE"""),"×欠場")</f>
        <v>×欠場</v>
      </c>
      <c r="G32" s="5" t="str">
        <f>IFERROR(__xludf.DUMMYFUNCTION("""COMPUTED_VALUE"""),"×欠場")</f>
        <v>×欠場</v>
      </c>
      <c r="H32" s="5"/>
      <c r="I32" s="5" t="str">
        <f>IFERROR(__xludf.DUMMYFUNCTION("""COMPUTED_VALUE"""),"×参加しない")</f>
        <v>×参加しない</v>
      </c>
      <c r="J32" s="5"/>
      <c r="K32" s="12">
        <f t="shared" si="2"/>
        <v>0</v>
      </c>
    </row>
    <row r="33" ht="19.5" customHeight="1">
      <c r="A33" s="5">
        <f>IFERROR(__xludf.DUMMYFUNCTION("""COMPUTED_VALUE"""),250701.0)</f>
        <v>250701</v>
      </c>
      <c r="B33" s="5" t="str">
        <f>IFERROR(__xludf.DUMMYFUNCTION("""COMPUTED_VALUE"""),"早川正真")</f>
        <v>早川正真</v>
      </c>
      <c r="C33" s="5" t="str">
        <f>IFERROR(__xludf.DUMMYFUNCTION("""COMPUTED_VALUE"""),"はやかわしょうま")</f>
        <v>はやかわしょうま</v>
      </c>
      <c r="D33" s="5">
        <f>IFERROR(__xludf.DUMMYFUNCTION("""COMPUTED_VALUE"""),2.0)</f>
        <v>2</v>
      </c>
      <c r="E33" s="5" t="str">
        <f>IFERROR(__xludf.DUMMYFUNCTION("""COMPUTED_VALUE"""),"男")</f>
        <v>男</v>
      </c>
      <c r="F33" s="5" t="str">
        <f>IFERROR(__xludf.DUMMYFUNCTION("""COMPUTED_VALUE"""),"MUA")</f>
        <v>MUA</v>
      </c>
      <c r="G33" s="5" t="str">
        <f>IFERROR(__xludf.DUMMYFUNCTION("""COMPUTED_VALUE"""),"○出場")</f>
        <v>○出場</v>
      </c>
      <c r="H33" s="5">
        <f>IFERROR(__xludf.DUMMYFUNCTION("""COMPUTED_VALUE"""),525166.0)</f>
        <v>525166</v>
      </c>
      <c r="I33" s="5" t="str">
        <f>IFERROR(__xludf.DUMMYFUNCTION("""COMPUTED_VALUE"""),"○参加する")</f>
        <v>○参加する</v>
      </c>
      <c r="J33" s="5"/>
      <c r="K33" s="12">
        <f t="shared" si="2"/>
        <v>1</v>
      </c>
    </row>
    <row r="34" ht="19.5" customHeight="1">
      <c r="A34" s="5">
        <f>IFERROR(__xludf.DUMMYFUNCTION("""COMPUTED_VALUE"""),250704.0)</f>
        <v>250704</v>
      </c>
      <c r="B34" s="5" t="str">
        <f>IFERROR(__xludf.DUMMYFUNCTION("""COMPUTED_VALUE"""),"森永理子")</f>
        <v>森永理子</v>
      </c>
      <c r="C34" s="5" t="str">
        <f>IFERROR(__xludf.DUMMYFUNCTION("""COMPUTED_VALUE"""),"もりながりこ")</f>
        <v>もりながりこ</v>
      </c>
      <c r="D34" s="5">
        <f>IFERROR(__xludf.DUMMYFUNCTION("""COMPUTED_VALUE"""),2.0)</f>
        <v>2</v>
      </c>
      <c r="E34" s="5" t="str">
        <f>IFERROR(__xludf.DUMMYFUNCTION("""COMPUTED_VALUE"""),"女")</f>
        <v>女</v>
      </c>
      <c r="F34" s="5" t="str">
        <f>IFERROR(__xludf.DUMMYFUNCTION("""COMPUTED_VALUE"""),"×欠場")</f>
        <v>×欠場</v>
      </c>
      <c r="G34" s="5" t="str">
        <f>IFERROR(__xludf.DUMMYFUNCTION("""COMPUTED_VALUE"""),"×欠場")</f>
        <v>×欠場</v>
      </c>
      <c r="H34" s="5"/>
      <c r="I34" s="5" t="str">
        <f>IFERROR(__xludf.DUMMYFUNCTION("""COMPUTED_VALUE"""),"×参加しない")</f>
        <v>×参加しない</v>
      </c>
      <c r="J34" s="5"/>
      <c r="K34" s="12">
        <f t="shared" si="2"/>
        <v>0</v>
      </c>
    </row>
    <row r="35" ht="19.5" customHeight="1">
      <c r="A35" s="5">
        <f>IFERROR(__xludf.DUMMYFUNCTION("""COMPUTED_VALUE"""),250705.0)</f>
        <v>250705</v>
      </c>
      <c r="B35" s="5" t="str">
        <f>IFERROR(__xludf.DUMMYFUNCTION("""COMPUTED_VALUE"""),"内藤慶")</f>
        <v>内藤慶</v>
      </c>
      <c r="C35" s="5" t="str">
        <f>IFERROR(__xludf.DUMMYFUNCTION("""COMPUTED_VALUE"""),"ないとうけい")</f>
        <v>ないとうけい</v>
      </c>
      <c r="D35" s="5">
        <f>IFERROR(__xludf.DUMMYFUNCTION("""COMPUTED_VALUE"""),2.0)</f>
        <v>2</v>
      </c>
      <c r="E35" s="5" t="str">
        <f>IFERROR(__xludf.DUMMYFUNCTION("""COMPUTED_VALUE"""),"男")</f>
        <v>男</v>
      </c>
      <c r="F35" s="5" t="str">
        <f>IFERROR(__xludf.DUMMYFUNCTION("""COMPUTED_VALUE"""),"MUB")</f>
        <v>MUB</v>
      </c>
      <c r="G35" s="5" t="str">
        <f>IFERROR(__xludf.DUMMYFUNCTION("""COMPUTED_VALUE"""),"○出場")</f>
        <v>○出場</v>
      </c>
      <c r="H35" s="5"/>
      <c r="I35" s="5" t="str">
        <f>IFERROR(__xludf.DUMMYFUNCTION("""COMPUTED_VALUE"""),"○参加する")</f>
        <v>○参加する</v>
      </c>
      <c r="J35" s="5"/>
      <c r="K35" s="12">
        <f t="shared" si="2"/>
        <v>1</v>
      </c>
    </row>
    <row r="36" ht="19.5" customHeight="1">
      <c r="A36" s="5">
        <f>IFERROR(__xludf.DUMMYFUNCTION("""COMPUTED_VALUE"""),250706.0)</f>
        <v>250706</v>
      </c>
      <c r="B36" s="5" t="str">
        <f>IFERROR(__xludf.DUMMYFUNCTION("""COMPUTED_VALUE"""),"松田空")</f>
        <v>松田空</v>
      </c>
      <c r="C36" s="5" t="str">
        <f>IFERROR(__xludf.DUMMYFUNCTION("""COMPUTED_VALUE"""),"まつだそら")</f>
        <v>まつだそら</v>
      </c>
      <c r="D36" s="5">
        <f>IFERROR(__xludf.DUMMYFUNCTION("""COMPUTED_VALUE"""),2.0)</f>
        <v>2</v>
      </c>
      <c r="E36" s="5" t="str">
        <f>IFERROR(__xludf.DUMMYFUNCTION("""COMPUTED_VALUE"""),"男")</f>
        <v>男</v>
      </c>
      <c r="F36" s="5" t="str">
        <f>IFERROR(__xludf.DUMMYFUNCTION("""COMPUTED_VALUE"""),"×欠場")</f>
        <v>×欠場</v>
      </c>
      <c r="G36" s="5" t="str">
        <f>IFERROR(__xludf.DUMMYFUNCTION("""COMPUTED_VALUE"""),"×欠場")</f>
        <v>×欠場</v>
      </c>
      <c r="H36" s="5"/>
      <c r="I36" s="5" t="str">
        <f>IFERROR(__xludf.DUMMYFUNCTION("""COMPUTED_VALUE"""),"×参加しない")</f>
        <v>×参加しない</v>
      </c>
      <c r="J36" s="5"/>
      <c r="K36" s="12">
        <f t="shared" si="2"/>
        <v>0</v>
      </c>
    </row>
    <row r="37" ht="19.5" customHeight="1">
      <c r="A37" s="5">
        <f>IFERROR(__xludf.DUMMYFUNCTION("""COMPUTED_VALUE"""),250707.0)</f>
        <v>250707</v>
      </c>
      <c r="B37" s="5" t="str">
        <f>IFERROR(__xludf.DUMMYFUNCTION("""COMPUTED_VALUE"""),"徳重遼大")</f>
        <v>徳重遼大</v>
      </c>
      <c r="C37" s="5" t="str">
        <f>IFERROR(__xludf.DUMMYFUNCTION("""COMPUTED_VALUE"""),"とくしげりょうた")</f>
        <v>とくしげりょうた</v>
      </c>
      <c r="D37" s="5">
        <f>IFERROR(__xludf.DUMMYFUNCTION("""COMPUTED_VALUE"""),2.0)</f>
        <v>2</v>
      </c>
      <c r="E37" s="5" t="str">
        <f>IFERROR(__xludf.DUMMYFUNCTION("""COMPUTED_VALUE"""),"男")</f>
        <v>男</v>
      </c>
      <c r="F37" s="5" t="str">
        <f>IFERROR(__xludf.DUMMYFUNCTION("""COMPUTED_VALUE"""),"×欠場")</f>
        <v>×欠場</v>
      </c>
      <c r="G37" s="5" t="str">
        <f>IFERROR(__xludf.DUMMYFUNCTION("""COMPUTED_VALUE"""),"×欠場")</f>
        <v>×欠場</v>
      </c>
      <c r="H37" s="5"/>
      <c r="I37" s="5" t="str">
        <f>IFERROR(__xludf.DUMMYFUNCTION("""COMPUTED_VALUE"""),"×参加しない")</f>
        <v>×参加しない</v>
      </c>
      <c r="J37" s="5"/>
      <c r="K37" s="12">
        <f t="shared" si="2"/>
        <v>0</v>
      </c>
    </row>
    <row r="38" ht="19.5" customHeight="1">
      <c r="A38" s="5">
        <f>IFERROR(__xludf.DUMMYFUNCTION("""COMPUTED_VALUE"""),250709.0)</f>
        <v>250709</v>
      </c>
      <c r="B38" s="5" t="str">
        <f>IFERROR(__xludf.DUMMYFUNCTION("""COMPUTED_VALUE"""),"高橋幹人")</f>
        <v>高橋幹人</v>
      </c>
      <c r="C38" s="5" t="str">
        <f>IFERROR(__xludf.DUMMYFUNCTION("""COMPUTED_VALUE"""),"たかはしみきと")</f>
        <v>たかはしみきと</v>
      </c>
      <c r="D38" s="5">
        <f>IFERROR(__xludf.DUMMYFUNCTION("""COMPUTED_VALUE"""),2.0)</f>
        <v>2</v>
      </c>
      <c r="E38" s="5" t="str">
        <f>IFERROR(__xludf.DUMMYFUNCTION("""COMPUTED_VALUE"""),"男")</f>
        <v>男</v>
      </c>
      <c r="F38" s="5" t="str">
        <f>IFERROR(__xludf.DUMMYFUNCTION("""COMPUTED_VALUE"""),"MUA")</f>
        <v>MUA</v>
      </c>
      <c r="G38" s="5" t="str">
        <f>IFERROR(__xludf.DUMMYFUNCTION("""COMPUTED_VALUE"""),"○出場")</f>
        <v>○出場</v>
      </c>
      <c r="H38" s="5">
        <f>IFERROR(__xludf.DUMMYFUNCTION("""COMPUTED_VALUE"""),525164.0)</f>
        <v>525164</v>
      </c>
      <c r="I38" s="5" t="str">
        <f>IFERROR(__xludf.DUMMYFUNCTION("""COMPUTED_VALUE"""),"○参加する")</f>
        <v>○参加する</v>
      </c>
      <c r="J38" s="5"/>
      <c r="K38" s="12">
        <f t="shared" si="2"/>
        <v>1</v>
      </c>
    </row>
    <row r="39" ht="19.5" customHeight="1">
      <c r="A39" s="5">
        <f>IFERROR(__xludf.DUMMYFUNCTION("""COMPUTED_VALUE"""),250710.0)</f>
        <v>250710</v>
      </c>
      <c r="B39" s="5" t="str">
        <f>IFERROR(__xludf.DUMMYFUNCTION("""COMPUTED_VALUE"""),"栗林圭樹")</f>
        <v>栗林圭樹</v>
      </c>
      <c r="C39" s="5" t="str">
        <f>IFERROR(__xludf.DUMMYFUNCTION("""COMPUTED_VALUE"""),"くりばやしけいじゅ")</f>
        <v>くりばやしけいじゅ</v>
      </c>
      <c r="D39" s="5">
        <f>IFERROR(__xludf.DUMMYFUNCTION("""COMPUTED_VALUE"""),2.0)</f>
        <v>2</v>
      </c>
      <c r="E39" s="5" t="str">
        <f>IFERROR(__xludf.DUMMYFUNCTION("""COMPUTED_VALUE"""),"男")</f>
        <v>男</v>
      </c>
      <c r="F39" s="5" t="str">
        <f>IFERROR(__xludf.DUMMYFUNCTION("""COMPUTED_VALUE"""),"×欠場")</f>
        <v>×欠場</v>
      </c>
      <c r="G39" s="5" t="str">
        <f>IFERROR(__xludf.DUMMYFUNCTION("""COMPUTED_VALUE"""),"×欠場")</f>
        <v>×欠場</v>
      </c>
      <c r="H39" s="5"/>
      <c r="I39" s="5" t="str">
        <f>IFERROR(__xludf.DUMMYFUNCTION("""COMPUTED_VALUE"""),"×参加しない")</f>
        <v>×参加しない</v>
      </c>
      <c r="J39" s="5"/>
      <c r="K39" s="12">
        <f t="shared" si="2"/>
        <v>0</v>
      </c>
    </row>
    <row r="40" ht="19.5" customHeight="1">
      <c r="A40" s="5">
        <f>IFERROR(__xludf.DUMMYFUNCTION("""COMPUTED_VALUE"""),250715.0)</f>
        <v>250715</v>
      </c>
      <c r="B40" s="5" t="str">
        <f>IFERROR(__xludf.DUMMYFUNCTION("""COMPUTED_VALUE"""),"柿沼優希")</f>
        <v>柿沼優希</v>
      </c>
      <c r="C40" s="5" t="str">
        <f>IFERROR(__xludf.DUMMYFUNCTION("""COMPUTED_VALUE"""),"かきぬまゆうき")</f>
        <v>かきぬまゆうき</v>
      </c>
      <c r="D40" s="5">
        <f>IFERROR(__xludf.DUMMYFUNCTION("""COMPUTED_VALUE"""),2.0)</f>
        <v>2</v>
      </c>
      <c r="E40" s="5" t="str">
        <f>IFERROR(__xludf.DUMMYFUNCTION("""COMPUTED_VALUE"""),"男")</f>
        <v>男</v>
      </c>
      <c r="F40" s="5" t="str">
        <f>IFERROR(__xludf.DUMMYFUNCTION("""COMPUTED_VALUE"""),"MUB")</f>
        <v>MUB</v>
      </c>
      <c r="G40" s="5" t="str">
        <f>IFERROR(__xludf.DUMMYFUNCTION("""COMPUTED_VALUE"""),"○出場")</f>
        <v>○出場</v>
      </c>
      <c r="H40" s="5"/>
      <c r="I40" s="5" t="str">
        <f>IFERROR(__xludf.DUMMYFUNCTION("""COMPUTED_VALUE"""),"○参加する")</f>
        <v>○参加する</v>
      </c>
      <c r="J40" s="5"/>
      <c r="K40" s="12">
        <f t="shared" si="2"/>
        <v>1</v>
      </c>
    </row>
    <row r="41" ht="19.5" customHeight="1">
      <c r="A41" s="5">
        <f>IFERROR(__xludf.DUMMYFUNCTION("""COMPUTED_VALUE"""),250718.0)</f>
        <v>250718</v>
      </c>
      <c r="B41" s="5" t="str">
        <f>IFERROR(__xludf.DUMMYFUNCTION("""COMPUTED_VALUE"""),"大道海斗")</f>
        <v>大道海斗</v>
      </c>
      <c r="C41" s="5" t="str">
        <f>IFERROR(__xludf.DUMMYFUNCTION("""COMPUTED_VALUE"""),"だいどうかいと")</f>
        <v>だいどうかいと</v>
      </c>
      <c r="D41" s="5">
        <f>IFERROR(__xludf.DUMMYFUNCTION("""COMPUTED_VALUE"""),2.0)</f>
        <v>2</v>
      </c>
      <c r="E41" s="5" t="str">
        <f>IFERROR(__xludf.DUMMYFUNCTION("""COMPUTED_VALUE"""),"男")</f>
        <v>男</v>
      </c>
      <c r="F41" s="5" t="str">
        <f>IFERROR(__xludf.DUMMYFUNCTION("""COMPUTED_VALUE"""),"MUA")</f>
        <v>MUA</v>
      </c>
      <c r="G41" s="5" t="str">
        <f>IFERROR(__xludf.DUMMYFUNCTION("""COMPUTED_VALUE"""),"○出場")</f>
        <v>○出場</v>
      </c>
      <c r="H41" s="5"/>
      <c r="I41" s="5" t="str">
        <f>IFERROR(__xludf.DUMMYFUNCTION("""COMPUTED_VALUE"""),"○参加する")</f>
        <v>○参加する</v>
      </c>
      <c r="J41" s="5"/>
      <c r="K41" s="12">
        <f t="shared" si="2"/>
        <v>1</v>
      </c>
    </row>
    <row r="42" ht="19.5" customHeight="1">
      <c r="A42" s="5">
        <f>IFERROR(__xludf.DUMMYFUNCTION("""COMPUTED_VALUE"""),250719.0)</f>
        <v>250719</v>
      </c>
      <c r="B42" s="5" t="str">
        <f>IFERROR(__xludf.DUMMYFUNCTION("""COMPUTED_VALUE"""),"長尾健隼")</f>
        <v>長尾健隼</v>
      </c>
      <c r="C42" s="5" t="str">
        <f>IFERROR(__xludf.DUMMYFUNCTION("""COMPUTED_VALUE"""),"ながおけんと")</f>
        <v>ながおけんと</v>
      </c>
      <c r="D42" s="5">
        <f>IFERROR(__xludf.DUMMYFUNCTION("""COMPUTED_VALUE"""),2.0)</f>
        <v>2</v>
      </c>
      <c r="E42" s="5" t="str">
        <f>IFERROR(__xludf.DUMMYFUNCTION("""COMPUTED_VALUE"""),"男")</f>
        <v>男</v>
      </c>
      <c r="F42" s="5" t="str">
        <f>IFERROR(__xludf.DUMMYFUNCTION("""COMPUTED_VALUE"""),"×欠場")</f>
        <v>×欠場</v>
      </c>
      <c r="G42" s="5" t="str">
        <f>IFERROR(__xludf.DUMMYFUNCTION("""COMPUTED_VALUE"""),"×欠場")</f>
        <v>×欠場</v>
      </c>
      <c r="H42" s="5"/>
      <c r="I42" s="5" t="str">
        <f>IFERROR(__xludf.DUMMYFUNCTION("""COMPUTED_VALUE"""),"×参加しない")</f>
        <v>×参加しない</v>
      </c>
      <c r="J42" s="5"/>
      <c r="K42" s="12">
        <f t="shared" si="2"/>
        <v>0</v>
      </c>
    </row>
    <row r="43" ht="19.5" customHeight="1">
      <c r="A43" s="5">
        <f>IFERROR(__xludf.DUMMYFUNCTION("""COMPUTED_VALUE"""),250724.0)</f>
        <v>250724</v>
      </c>
      <c r="B43" s="5" t="str">
        <f>IFERROR(__xludf.DUMMYFUNCTION("""COMPUTED_VALUE"""),"山中千緒里")</f>
        <v>山中千緒里</v>
      </c>
      <c r="C43" s="5" t="str">
        <f>IFERROR(__xludf.DUMMYFUNCTION("""COMPUTED_VALUE"""),"やまなかちおり")</f>
        <v>やまなかちおり</v>
      </c>
      <c r="D43" s="5">
        <f>IFERROR(__xludf.DUMMYFUNCTION("""COMPUTED_VALUE"""),2.0)</f>
        <v>2</v>
      </c>
      <c r="E43" s="5" t="str">
        <f>IFERROR(__xludf.DUMMYFUNCTION("""COMPUTED_VALUE"""),"女")</f>
        <v>女</v>
      </c>
      <c r="F43" s="5" t="str">
        <f>IFERROR(__xludf.DUMMYFUNCTION("""COMPUTED_VALUE"""),"×欠場")</f>
        <v>×欠場</v>
      </c>
      <c r="G43" s="5" t="str">
        <f>IFERROR(__xludf.DUMMYFUNCTION("""COMPUTED_VALUE"""),"×欠場")</f>
        <v>×欠場</v>
      </c>
      <c r="H43" s="5"/>
      <c r="I43" s="5" t="str">
        <f>IFERROR(__xludf.DUMMYFUNCTION("""COMPUTED_VALUE"""),"×参加しない")</f>
        <v>×参加しない</v>
      </c>
      <c r="J43" s="5"/>
      <c r="K43" s="12">
        <f t="shared" si="2"/>
        <v>0</v>
      </c>
    </row>
    <row r="44" ht="19.5" customHeight="1">
      <c r="A44" s="5">
        <f>IFERROR(__xludf.DUMMYFUNCTION("""COMPUTED_VALUE"""),150701.0)</f>
        <v>150701</v>
      </c>
      <c r="B44" s="5" t="str">
        <f>IFERROR(__xludf.DUMMYFUNCTION("""COMPUTED_VALUE"""),"間正百香")</f>
        <v>間正百香</v>
      </c>
      <c r="C44" s="5" t="str">
        <f>IFERROR(__xludf.DUMMYFUNCTION("""COMPUTED_VALUE"""),"ましょうももか")</f>
        <v>ましょうももか</v>
      </c>
      <c r="D44" s="5">
        <f>IFERROR(__xludf.DUMMYFUNCTION("""COMPUTED_VALUE"""),3.0)</f>
        <v>3</v>
      </c>
      <c r="E44" s="5" t="str">
        <f>IFERROR(__xludf.DUMMYFUNCTION("""COMPUTED_VALUE"""),"女")</f>
        <v>女</v>
      </c>
      <c r="F44" s="5" t="str">
        <f>IFERROR(__xludf.DUMMYFUNCTION("""COMPUTED_VALUE"""),"WUA")</f>
        <v>WUA</v>
      </c>
      <c r="G44" s="5" t="str">
        <f>IFERROR(__xludf.DUMMYFUNCTION("""COMPUTED_VALUE"""),"○出場")</f>
        <v>○出場</v>
      </c>
      <c r="H44" s="5">
        <f>IFERROR(__xludf.DUMMYFUNCTION("""COMPUTED_VALUE"""),519349.0)</f>
        <v>519349</v>
      </c>
      <c r="I44" s="5" t="str">
        <f>IFERROR(__xludf.DUMMYFUNCTION("""COMPUTED_VALUE"""),"○参加する")</f>
        <v>○参加する</v>
      </c>
      <c r="J44" s="5"/>
      <c r="K44" s="12">
        <f t="shared" si="2"/>
        <v>1</v>
      </c>
    </row>
    <row r="45" ht="19.5" customHeight="1">
      <c r="A45" s="5">
        <f>IFERROR(__xludf.DUMMYFUNCTION("""COMPUTED_VALUE"""),150702.0)</f>
        <v>150702</v>
      </c>
      <c r="B45" s="5" t="str">
        <f>IFERROR(__xludf.DUMMYFUNCTION("""COMPUTED_VALUE"""),"野村尚志")</f>
        <v>野村尚志</v>
      </c>
      <c r="C45" s="5" t="str">
        <f>IFERROR(__xludf.DUMMYFUNCTION("""COMPUTED_VALUE"""),"のむらひさし")</f>
        <v>のむらひさし</v>
      </c>
      <c r="D45" s="5">
        <f>IFERROR(__xludf.DUMMYFUNCTION("""COMPUTED_VALUE"""),3.0)</f>
        <v>3</v>
      </c>
      <c r="E45" s="5" t="str">
        <f>IFERROR(__xludf.DUMMYFUNCTION("""COMPUTED_VALUE"""),"男")</f>
        <v>男</v>
      </c>
      <c r="F45" s="5" t="str">
        <f>IFERROR(__xludf.DUMMYFUNCTION("""COMPUTED_VALUE"""),"MUA")</f>
        <v>MUA</v>
      </c>
      <c r="G45" s="5" t="str">
        <f>IFERROR(__xludf.DUMMYFUNCTION("""COMPUTED_VALUE"""),"○出場")</f>
        <v>○出場</v>
      </c>
      <c r="H45" s="5">
        <f>IFERROR(__xludf.DUMMYFUNCTION("""COMPUTED_VALUE"""),519348.0)</f>
        <v>519348</v>
      </c>
      <c r="I45" s="5" t="str">
        <f>IFERROR(__xludf.DUMMYFUNCTION("""COMPUTED_VALUE"""),"○参加する")</f>
        <v>○参加する</v>
      </c>
      <c r="J45" s="5"/>
      <c r="K45" s="12">
        <f t="shared" si="2"/>
        <v>1</v>
      </c>
    </row>
    <row r="46" ht="19.5" customHeight="1">
      <c r="A46" s="5">
        <f>IFERROR(__xludf.DUMMYFUNCTION("""COMPUTED_VALUE"""),150703.0)</f>
        <v>150703</v>
      </c>
      <c r="B46" s="5" t="str">
        <f>IFERROR(__xludf.DUMMYFUNCTION("""COMPUTED_VALUE"""),"梶原玲央")</f>
        <v>梶原玲央</v>
      </c>
      <c r="C46" s="5" t="str">
        <f>IFERROR(__xludf.DUMMYFUNCTION("""COMPUTED_VALUE"""),"かじはられお")</f>
        <v>かじはられお</v>
      </c>
      <c r="D46" s="5">
        <f>IFERROR(__xludf.DUMMYFUNCTION("""COMPUTED_VALUE"""),3.0)</f>
        <v>3</v>
      </c>
      <c r="E46" s="5" t="str">
        <f>IFERROR(__xludf.DUMMYFUNCTION("""COMPUTED_VALUE"""),"男")</f>
        <v>男</v>
      </c>
      <c r="F46" s="5" t="str">
        <f>IFERROR(__xludf.DUMMYFUNCTION("""COMPUTED_VALUE"""),"×欠場")</f>
        <v>×欠場</v>
      </c>
      <c r="G46" s="5" t="str">
        <f>IFERROR(__xludf.DUMMYFUNCTION("""COMPUTED_VALUE"""),"×欠場")</f>
        <v>×欠場</v>
      </c>
      <c r="H46" s="5"/>
      <c r="I46" s="5" t="str">
        <f>IFERROR(__xludf.DUMMYFUNCTION("""COMPUTED_VALUE"""),"×参加しない")</f>
        <v>×参加しない</v>
      </c>
      <c r="J46" s="5"/>
      <c r="K46" s="12">
        <f t="shared" si="2"/>
        <v>0</v>
      </c>
    </row>
    <row r="47" ht="19.5" customHeight="1">
      <c r="A47" s="5">
        <f>IFERROR(__xludf.DUMMYFUNCTION("""COMPUTED_VALUE"""),150706.0)</f>
        <v>150706</v>
      </c>
      <c r="B47" s="5" t="str">
        <f>IFERROR(__xludf.DUMMYFUNCTION("""COMPUTED_VALUE"""),"中谷太陽")</f>
        <v>中谷太陽</v>
      </c>
      <c r="C47" s="5" t="str">
        <f>IFERROR(__xludf.DUMMYFUNCTION("""COMPUTED_VALUE"""),"なかやたいよう")</f>
        <v>なかやたいよう</v>
      </c>
      <c r="D47" s="5">
        <f>IFERROR(__xludf.DUMMYFUNCTION("""COMPUTED_VALUE"""),3.0)</f>
        <v>3</v>
      </c>
      <c r="E47" s="5" t="str">
        <f>IFERROR(__xludf.DUMMYFUNCTION("""COMPUTED_VALUE"""),"男")</f>
        <v>男</v>
      </c>
      <c r="F47" s="5" t="str">
        <f>IFERROR(__xludf.DUMMYFUNCTION("""COMPUTED_VALUE"""),"MUA")</f>
        <v>MUA</v>
      </c>
      <c r="G47" s="5" t="str">
        <f>IFERROR(__xludf.DUMMYFUNCTION("""COMPUTED_VALUE"""),"○出場")</f>
        <v>○出場</v>
      </c>
      <c r="H47" s="5">
        <f>IFERROR(__xludf.DUMMYFUNCTION("""COMPUTED_VALUE"""),519350.0)</f>
        <v>519350</v>
      </c>
      <c r="I47" s="5" t="str">
        <f>IFERROR(__xludf.DUMMYFUNCTION("""COMPUTED_VALUE"""),"○参加する")</f>
        <v>○参加する</v>
      </c>
      <c r="J47" s="5"/>
      <c r="K47" s="12">
        <f t="shared" si="2"/>
        <v>1</v>
      </c>
    </row>
    <row r="48" ht="19.5" customHeight="1">
      <c r="A48" s="5">
        <f>IFERROR(__xludf.DUMMYFUNCTION("""COMPUTED_VALUE"""),150710.0)</f>
        <v>150710</v>
      </c>
      <c r="B48" s="5" t="str">
        <f>IFERROR(__xludf.DUMMYFUNCTION("""COMPUTED_VALUE"""),"箕浦夕紀")</f>
        <v>箕浦夕紀</v>
      </c>
      <c r="C48" s="5" t="str">
        <f>IFERROR(__xludf.DUMMYFUNCTION("""COMPUTED_VALUE"""),"みのうらゆうき")</f>
        <v>みのうらゆうき</v>
      </c>
      <c r="D48" s="5">
        <f>IFERROR(__xludf.DUMMYFUNCTION("""COMPUTED_VALUE"""),3.0)</f>
        <v>3</v>
      </c>
      <c r="E48" s="5" t="str">
        <f>IFERROR(__xludf.DUMMYFUNCTION("""COMPUTED_VALUE"""),"女")</f>
        <v>女</v>
      </c>
      <c r="F48" s="5" t="str">
        <f>IFERROR(__xludf.DUMMYFUNCTION("""COMPUTED_VALUE"""),"WUA")</f>
        <v>WUA</v>
      </c>
      <c r="G48" s="5" t="str">
        <f>IFERROR(__xludf.DUMMYFUNCTION("""COMPUTED_VALUE"""),"○出場")</f>
        <v>○出場</v>
      </c>
      <c r="H48" s="5">
        <f>IFERROR(__xludf.DUMMYFUNCTION("""COMPUTED_VALUE"""),519347.0)</f>
        <v>519347</v>
      </c>
      <c r="I48" s="5" t="str">
        <f>IFERROR(__xludf.DUMMYFUNCTION("""COMPUTED_VALUE"""),"×参加しない")</f>
        <v>×参加しない</v>
      </c>
      <c r="J48" s="5"/>
      <c r="K48" s="12">
        <f t="shared" si="2"/>
        <v>1</v>
      </c>
    </row>
    <row r="49" ht="19.5" customHeight="1">
      <c r="A49" s="5">
        <f>IFERROR(__xludf.DUMMYFUNCTION("""COMPUTED_VALUE"""),150711.0)</f>
        <v>150711</v>
      </c>
      <c r="B49" s="5" t="str">
        <f>IFERROR(__xludf.DUMMYFUNCTION("""COMPUTED_VALUE"""),"武田翔")</f>
        <v>武田翔</v>
      </c>
      <c r="C49" s="5" t="str">
        <f>IFERROR(__xludf.DUMMYFUNCTION("""COMPUTED_VALUE"""),"たけだしょう")</f>
        <v>たけだしょう</v>
      </c>
      <c r="D49" s="5">
        <f>IFERROR(__xludf.DUMMYFUNCTION("""COMPUTED_VALUE"""),3.0)</f>
        <v>3</v>
      </c>
      <c r="E49" s="5" t="str">
        <f>IFERROR(__xludf.DUMMYFUNCTION("""COMPUTED_VALUE"""),"男")</f>
        <v>男</v>
      </c>
      <c r="F49" s="5" t="str">
        <f>IFERROR(__xludf.DUMMYFUNCTION("""COMPUTED_VALUE"""),"×欠場")</f>
        <v>×欠場</v>
      </c>
      <c r="G49" s="5" t="str">
        <f>IFERROR(__xludf.DUMMYFUNCTION("""COMPUTED_VALUE"""),"×欠場")</f>
        <v>×欠場</v>
      </c>
      <c r="H49" s="5"/>
      <c r="I49" s="5" t="str">
        <f>IFERROR(__xludf.DUMMYFUNCTION("""COMPUTED_VALUE"""),"×参加しない")</f>
        <v>×参加しない</v>
      </c>
      <c r="J49" s="5"/>
      <c r="K49" s="12">
        <f t="shared" si="2"/>
        <v>0</v>
      </c>
    </row>
    <row r="50" ht="19.5" customHeight="1">
      <c r="A50" s="5">
        <f>IFERROR(__xludf.DUMMYFUNCTION("""COMPUTED_VALUE"""),150712.0)</f>
        <v>150712</v>
      </c>
      <c r="B50" s="5" t="str">
        <f>IFERROR(__xludf.DUMMYFUNCTION("""COMPUTED_VALUE"""),"知久純也")</f>
        <v>知久純也</v>
      </c>
      <c r="C50" s="5" t="str">
        <f>IFERROR(__xludf.DUMMYFUNCTION("""COMPUTED_VALUE"""),"ちくじゅんや")</f>
        <v>ちくじゅんや</v>
      </c>
      <c r="D50" s="5">
        <f>IFERROR(__xludf.DUMMYFUNCTION("""COMPUTED_VALUE"""),3.0)</f>
        <v>3</v>
      </c>
      <c r="E50" s="5" t="str">
        <f>IFERROR(__xludf.DUMMYFUNCTION("""COMPUTED_VALUE"""),"男")</f>
        <v>男</v>
      </c>
      <c r="F50" s="5" t="str">
        <f>IFERROR(__xludf.DUMMYFUNCTION("""COMPUTED_VALUE"""),"×欠場")</f>
        <v>×欠場</v>
      </c>
      <c r="G50" s="5" t="str">
        <f>IFERROR(__xludf.DUMMYFUNCTION("""COMPUTED_VALUE"""),"×欠場")</f>
        <v>×欠場</v>
      </c>
      <c r="H50" s="5"/>
      <c r="I50" s="5" t="str">
        <f>IFERROR(__xludf.DUMMYFUNCTION("""COMPUTED_VALUE"""),"×参加しない")</f>
        <v>×参加しない</v>
      </c>
      <c r="J50" s="5"/>
      <c r="K50" s="12">
        <f t="shared" si="2"/>
        <v>0</v>
      </c>
    </row>
    <row r="51" ht="19.5" customHeight="1">
      <c r="A51" s="5">
        <f>IFERROR(__xludf.DUMMYFUNCTION("""COMPUTED_VALUE"""),50701.0)</f>
        <v>50701</v>
      </c>
      <c r="B51" s="5" t="str">
        <f>IFERROR(__xludf.DUMMYFUNCTION("""COMPUTED_VALUE"""),"徳力雅哉")</f>
        <v>徳力雅哉</v>
      </c>
      <c r="C51" s="5" t="str">
        <f>IFERROR(__xludf.DUMMYFUNCTION("""COMPUTED_VALUE"""),"とくりきまさや")</f>
        <v>とくりきまさや</v>
      </c>
      <c r="D51" s="5">
        <f>IFERROR(__xludf.DUMMYFUNCTION("""COMPUTED_VALUE"""),4.0)</f>
        <v>4</v>
      </c>
      <c r="E51" s="5" t="str">
        <f>IFERROR(__xludf.DUMMYFUNCTION("""COMPUTED_VALUE"""),"男")</f>
        <v>男</v>
      </c>
      <c r="F51" s="5" t="str">
        <f>IFERROR(__xludf.DUMMYFUNCTION("""COMPUTED_VALUE"""),"MUA")</f>
        <v>MUA</v>
      </c>
      <c r="G51" s="5" t="str">
        <f>IFERROR(__xludf.DUMMYFUNCTION("""COMPUTED_VALUE"""),"○出場")</f>
        <v>○出場</v>
      </c>
      <c r="H51" s="5">
        <f>IFERROR(__xludf.DUMMYFUNCTION("""COMPUTED_VALUE"""),519346.0)</f>
        <v>519346</v>
      </c>
      <c r="I51" s="5" t="str">
        <f>IFERROR(__xludf.DUMMYFUNCTION("""COMPUTED_VALUE"""),"×参加しない")</f>
        <v>×参加しない</v>
      </c>
      <c r="J51" s="5"/>
      <c r="K51" s="12">
        <f t="shared" si="2"/>
        <v>1</v>
      </c>
    </row>
    <row r="52" ht="19.5" customHeight="1">
      <c r="A52" s="5">
        <f>IFERROR(__xludf.DUMMYFUNCTION("""COMPUTED_VALUE"""),50705.0)</f>
        <v>50705</v>
      </c>
      <c r="B52" s="5" t="str">
        <f>IFERROR(__xludf.DUMMYFUNCTION("""COMPUTED_VALUE"""),"大羽育美")</f>
        <v>大羽育美</v>
      </c>
      <c r="C52" s="5" t="str">
        <f>IFERROR(__xludf.DUMMYFUNCTION("""COMPUTED_VALUE"""),"おおばいくみ")</f>
        <v>おおばいくみ</v>
      </c>
      <c r="D52" s="5">
        <f>IFERROR(__xludf.DUMMYFUNCTION("""COMPUTED_VALUE"""),4.0)</f>
        <v>4</v>
      </c>
      <c r="E52" s="5" t="str">
        <f>IFERROR(__xludf.DUMMYFUNCTION("""COMPUTED_VALUE"""),"女")</f>
        <v>女</v>
      </c>
      <c r="F52" s="5" t="str">
        <f>IFERROR(__xludf.DUMMYFUNCTION("""COMPUTED_VALUE"""),"×欠場")</f>
        <v>×欠場</v>
      </c>
      <c r="G52" s="5" t="str">
        <f>IFERROR(__xludf.DUMMYFUNCTION("""COMPUTED_VALUE"""),"×欠場")</f>
        <v>×欠場</v>
      </c>
      <c r="H52" s="5"/>
      <c r="I52" s="5" t="str">
        <f>IFERROR(__xludf.DUMMYFUNCTION("""COMPUTED_VALUE"""),"×参加しない")</f>
        <v>×参加しない</v>
      </c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1998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11</v>
      </c>
      <c r="E4" s="7">
        <f t="shared" ref="E4:E8" si="1">C4*D4</f>
        <v>93500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0</v>
      </c>
      <c r="E5" s="7">
        <f t="shared" si="1"/>
        <v>0</v>
      </c>
    </row>
    <row r="6" ht="19.5" customHeight="1">
      <c r="A6" s="2" t="s">
        <v>9</v>
      </c>
      <c r="B6" s="4"/>
      <c r="C6" s="7">
        <v>32700.0</v>
      </c>
      <c r="D6" s="5">
        <f>D4+D5</f>
        <v>11</v>
      </c>
      <c r="E6" s="7">
        <f t="shared" si="1"/>
        <v>359700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1</v>
      </c>
      <c r="E7" s="7">
        <f t="shared" si="1"/>
        <v>4500</v>
      </c>
    </row>
    <row r="8" ht="19.5" customHeight="1">
      <c r="A8" s="2" t="s">
        <v>11</v>
      </c>
      <c r="B8" s="4"/>
      <c r="C8" s="7">
        <v>500.0</v>
      </c>
      <c r="D8" s="5">
        <f>D4-COUNT(H14:H201)</f>
        <v>0</v>
      </c>
      <c r="E8" s="7">
        <f t="shared" si="1"/>
        <v>0</v>
      </c>
    </row>
    <row r="9" ht="19.5" customHeight="1">
      <c r="A9" s="9"/>
      <c r="B9" s="9"/>
      <c r="C9" s="9"/>
      <c r="D9" s="10" t="s">
        <v>5</v>
      </c>
      <c r="E9" s="11">
        <f>SUM(E4:E8)</f>
        <v>457700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IFERROR(__xludf.DUMMYFUNCTION("FILTER('個人別エントリー'!C2:L1018,'個人別エントリー'!B2:B1018=A1)"),354101.0)</f>
        <v>354101</v>
      </c>
      <c r="B14" s="5" t="str">
        <f>IFERROR(__xludf.DUMMYFUNCTION("""COMPUTED_VALUE"""),"吉野舞桜")</f>
        <v>吉野舞桜</v>
      </c>
      <c r="C14" s="5" t="str">
        <f>IFERROR(__xludf.DUMMYFUNCTION("""COMPUTED_VALUE"""),"よしのまお")</f>
        <v>よしのまお</v>
      </c>
      <c r="D14" s="5">
        <f>IFERROR(__xludf.DUMMYFUNCTION("""COMPUTED_VALUE"""),1.0)</f>
        <v>1</v>
      </c>
      <c r="E14" s="5" t="str">
        <f>IFERROR(__xludf.DUMMYFUNCTION("""COMPUTED_VALUE"""),"女")</f>
        <v>女</v>
      </c>
      <c r="F14" s="5" t="str">
        <f>IFERROR(__xludf.DUMMYFUNCTION("""COMPUTED_VALUE"""),"×欠場")</f>
        <v>×欠場</v>
      </c>
      <c r="G14" s="5" t="str">
        <f>IFERROR(__xludf.DUMMYFUNCTION("""COMPUTED_VALUE"""),"×欠場")</f>
        <v>×欠場</v>
      </c>
      <c r="H14" s="5"/>
      <c r="I14" s="5" t="str">
        <f>IFERROR(__xludf.DUMMYFUNCTION("""COMPUTED_VALUE"""),"×参加しない")</f>
        <v>×参加しない</v>
      </c>
      <c r="J14" s="5"/>
      <c r="K14" s="12">
        <f t="shared" ref="K14:K201" si="2">IF(AND(OR(F14="×欠場",F14=""),OR(G14="×欠場",G14="")),0,1)</f>
        <v>0</v>
      </c>
      <c r="M14" s="5" t="str">
        <f>IFERROR(__xludf.DUMMYFUNCTION("FILTER('リレー内容'!$C$2:$K$51,'リレー内容'!$B$2:$B$51=A1)"),"×欠場")</f>
        <v>×欠場</v>
      </c>
      <c r="N14" s="5" t="str">
        <f>IFERROR(__xludf.DUMMYFUNCTION("""COMPUTED_VALUE"""),"○出場")</f>
        <v>○出場</v>
      </c>
      <c r="O14" s="5">
        <f>IFERROR(__xludf.DUMMYFUNCTION("""COMPUTED_VALUE"""),0.0)</f>
        <v>0</v>
      </c>
      <c r="P14" s="5">
        <f>IFERROR(__xludf.DUMMYFUNCTION("""COMPUTED_VALUE"""),1.0)</f>
        <v>1</v>
      </c>
      <c r="Q14" s="5">
        <f>IFERROR(__xludf.DUMMYFUNCTION("""COMPUTED_VALUE"""),0.0)</f>
        <v>0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IFERROR(__xludf.DUMMYFUNCTION("""COMPUTED_VALUE"""),1.0)</f>
        <v>1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IFERROR(__xludf.DUMMYFUNCTION("""COMPUTED_VALUE"""),354102.0)</f>
        <v>354102</v>
      </c>
      <c r="B15" s="5" t="str">
        <f>IFERROR(__xludf.DUMMYFUNCTION("""COMPUTED_VALUE"""),"門井愛子")</f>
        <v>門井愛子</v>
      </c>
      <c r="C15" s="5" t="str">
        <f>IFERROR(__xludf.DUMMYFUNCTION("""COMPUTED_VALUE"""),"かどいあいこ")</f>
        <v>かどいあいこ</v>
      </c>
      <c r="D15" s="5">
        <f>IFERROR(__xludf.DUMMYFUNCTION("""COMPUTED_VALUE"""),1.0)</f>
        <v>1</v>
      </c>
      <c r="E15" s="5" t="str">
        <f>IFERROR(__xludf.DUMMYFUNCTION("""COMPUTED_VALUE"""),"女")</f>
        <v>女</v>
      </c>
      <c r="F15" s="5" t="str">
        <f>IFERROR(__xludf.DUMMYFUNCTION("""COMPUTED_VALUE"""),"WUF")</f>
        <v>WUF</v>
      </c>
      <c r="G15" s="5" t="str">
        <f>IFERROR(__xludf.DUMMYFUNCTION("""COMPUTED_VALUE"""),"○出場")</f>
        <v>○出場</v>
      </c>
      <c r="H15" s="5">
        <f>IFERROR(__xludf.DUMMYFUNCTION("""COMPUTED_VALUE"""),523106.0)</f>
        <v>523106</v>
      </c>
      <c r="I15" s="5" t="str">
        <f>IFERROR(__xludf.DUMMYFUNCTION("""COMPUTED_VALUE"""),"○参加する")</f>
        <v>○参加する</v>
      </c>
      <c r="J15" s="5"/>
      <c r="K15" s="12">
        <f t="shared" si="2"/>
        <v>1</v>
      </c>
    </row>
    <row r="16" ht="19.5" customHeight="1">
      <c r="A16" s="5">
        <f>IFERROR(__xludf.DUMMYFUNCTION("""COMPUTED_VALUE"""),354103.0)</f>
        <v>354103</v>
      </c>
      <c r="B16" s="5" t="str">
        <f>IFERROR(__xludf.DUMMYFUNCTION("""COMPUTED_VALUE"""),"遠藤睦実")</f>
        <v>遠藤睦実</v>
      </c>
      <c r="C16" s="5" t="str">
        <f>IFERROR(__xludf.DUMMYFUNCTION("""COMPUTED_VALUE"""),"えんどうむつみ")</f>
        <v>えんどうむつみ</v>
      </c>
      <c r="D16" s="5">
        <f>IFERROR(__xludf.DUMMYFUNCTION("""COMPUTED_VALUE"""),1.0)</f>
        <v>1</v>
      </c>
      <c r="E16" s="5" t="str">
        <f>IFERROR(__xludf.DUMMYFUNCTION("""COMPUTED_VALUE"""),"女")</f>
        <v>女</v>
      </c>
      <c r="F16" s="5" t="str">
        <f>IFERROR(__xludf.DUMMYFUNCTION("""COMPUTED_VALUE"""),"WUF")</f>
        <v>WUF</v>
      </c>
      <c r="G16" s="5" t="str">
        <f>IFERROR(__xludf.DUMMYFUNCTION("""COMPUTED_VALUE"""),"○出場")</f>
        <v>○出場</v>
      </c>
      <c r="H16" s="5">
        <f>IFERROR(__xludf.DUMMYFUNCTION("""COMPUTED_VALUE"""),524671.0)</f>
        <v>524671</v>
      </c>
      <c r="I16" s="5" t="str">
        <f>IFERROR(__xludf.DUMMYFUNCTION("""COMPUTED_VALUE"""),"○参加する")</f>
        <v>○参加する</v>
      </c>
      <c r="J16" s="5"/>
      <c r="K16" s="12">
        <f t="shared" si="2"/>
        <v>1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>
        <f>IFERROR(__xludf.DUMMYFUNCTION("""COMPUTED_VALUE"""),354104.0)</f>
        <v>354104</v>
      </c>
      <c r="B17" s="5" t="str">
        <f>IFERROR(__xludf.DUMMYFUNCTION("""COMPUTED_VALUE"""),"多田朱里")</f>
        <v>多田朱里</v>
      </c>
      <c r="C17" s="5" t="str">
        <f>IFERROR(__xludf.DUMMYFUNCTION("""COMPUTED_VALUE"""),"ただあかり")</f>
        <v>ただあかり</v>
      </c>
      <c r="D17" s="5">
        <f>IFERROR(__xludf.DUMMYFUNCTION("""COMPUTED_VALUE"""),1.0)</f>
        <v>1</v>
      </c>
      <c r="E17" s="5" t="str">
        <f>IFERROR(__xludf.DUMMYFUNCTION("""COMPUTED_VALUE"""),"女")</f>
        <v>女</v>
      </c>
      <c r="F17" s="5" t="str">
        <f>IFERROR(__xludf.DUMMYFUNCTION("""COMPUTED_VALUE"""),"WUF")</f>
        <v>WUF</v>
      </c>
      <c r="G17" s="5" t="str">
        <f>IFERROR(__xludf.DUMMYFUNCTION("""COMPUTED_VALUE"""),"○出場")</f>
        <v>○出場</v>
      </c>
      <c r="H17" s="5">
        <f>IFERROR(__xludf.DUMMYFUNCTION("""COMPUTED_VALUE"""),523108.0)</f>
        <v>523108</v>
      </c>
      <c r="I17" s="5" t="str">
        <f>IFERROR(__xludf.DUMMYFUNCTION("""COMPUTED_VALUE"""),"○参加する")</f>
        <v>○参加する</v>
      </c>
      <c r="J17" s="5"/>
      <c r="K17" s="12">
        <f t="shared" si="2"/>
        <v>1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>
        <f>IFERROR(__xludf.DUMMYFUNCTION("""COMPUTED_VALUE"""),354105.0)</f>
        <v>354105</v>
      </c>
      <c r="B18" s="5" t="str">
        <f>IFERROR(__xludf.DUMMYFUNCTION("""COMPUTED_VALUE"""),"井上史菜")</f>
        <v>井上史菜</v>
      </c>
      <c r="C18" s="5" t="str">
        <f>IFERROR(__xludf.DUMMYFUNCTION("""COMPUTED_VALUE"""),"いのうえふみな")</f>
        <v>いのうえふみな</v>
      </c>
      <c r="D18" s="5">
        <f>IFERROR(__xludf.DUMMYFUNCTION("""COMPUTED_VALUE"""),1.0)</f>
        <v>1</v>
      </c>
      <c r="E18" s="5" t="str">
        <f>IFERROR(__xludf.DUMMYFUNCTION("""COMPUTED_VALUE"""),"女")</f>
        <v>女</v>
      </c>
      <c r="F18" s="5" t="str">
        <f>IFERROR(__xludf.DUMMYFUNCTION("""COMPUTED_VALUE"""),"×欠場")</f>
        <v>×欠場</v>
      </c>
      <c r="G18" s="5" t="str">
        <f>IFERROR(__xludf.DUMMYFUNCTION("""COMPUTED_VALUE"""),"×欠場")</f>
        <v>×欠場</v>
      </c>
      <c r="H18" s="5"/>
      <c r="I18" s="5" t="str">
        <f>IFERROR(__xludf.DUMMYFUNCTION("""COMPUTED_VALUE"""),"×参加しない")</f>
        <v>×参加しない</v>
      </c>
      <c r="J18" s="5"/>
      <c r="K18" s="12">
        <f t="shared" si="2"/>
        <v>0</v>
      </c>
      <c r="M18" s="5" t="s">
        <v>28</v>
      </c>
      <c r="N18" s="2" t="s">
        <v>1699</v>
      </c>
      <c r="O18" s="4"/>
      <c r="P18" s="2" t="s">
        <v>2335</v>
      </c>
      <c r="Q18" s="3"/>
      <c r="R18" s="3"/>
      <c r="S18" s="3"/>
      <c r="T18" s="3"/>
      <c r="U18" s="4"/>
    </row>
    <row r="19" ht="19.5" customHeight="1">
      <c r="A19" s="5">
        <f>IFERROR(__xludf.DUMMYFUNCTION("""COMPUTED_VALUE"""),354106.0)</f>
        <v>354106</v>
      </c>
      <c r="B19" s="5" t="str">
        <f>IFERROR(__xludf.DUMMYFUNCTION("""COMPUTED_VALUE"""),"奥田優希")</f>
        <v>奥田優希</v>
      </c>
      <c r="C19" s="5" t="str">
        <f>IFERROR(__xludf.DUMMYFUNCTION("""COMPUTED_VALUE"""),"おくだゆき")</f>
        <v>おくだゆき</v>
      </c>
      <c r="D19" s="5">
        <f>IFERROR(__xludf.DUMMYFUNCTION("""COMPUTED_VALUE"""),1.0)</f>
        <v>1</v>
      </c>
      <c r="E19" s="5" t="str">
        <f>IFERROR(__xludf.DUMMYFUNCTION("""COMPUTED_VALUE"""),"女")</f>
        <v>女</v>
      </c>
      <c r="F19" s="5" t="str">
        <f>IFERROR(__xludf.DUMMYFUNCTION("""COMPUTED_VALUE"""),"×欠場")</f>
        <v>×欠場</v>
      </c>
      <c r="G19" s="5" t="str">
        <f>IFERROR(__xludf.DUMMYFUNCTION("""COMPUTED_VALUE"""),"×欠場")</f>
        <v>×欠場</v>
      </c>
      <c r="H19" s="5"/>
      <c r="I19" s="5" t="str">
        <f>IFERROR(__xludf.DUMMYFUNCTION("""COMPUTED_VALUE"""),"×参加しない")</f>
        <v>×参加しない</v>
      </c>
      <c r="J19" s="5"/>
      <c r="K19" s="12">
        <f t="shared" si="2"/>
        <v>0</v>
      </c>
      <c r="M19" s="5" t="s">
        <v>32</v>
      </c>
      <c r="N19" s="2" t="s">
        <v>1699</v>
      </c>
      <c r="O19" s="4"/>
      <c r="P19" s="2" t="s">
        <v>2336</v>
      </c>
      <c r="Q19" s="3"/>
      <c r="R19" s="3"/>
      <c r="S19" s="3"/>
      <c r="T19" s="3"/>
      <c r="U19" s="4"/>
    </row>
    <row r="20" ht="19.5" customHeight="1">
      <c r="A20" s="5">
        <f>IFERROR(__xludf.DUMMYFUNCTION("""COMPUTED_VALUE"""),354107.0)</f>
        <v>354107</v>
      </c>
      <c r="B20" s="5" t="str">
        <f>IFERROR(__xludf.DUMMYFUNCTION("""COMPUTED_VALUE"""),"八木すみれ")</f>
        <v>八木すみれ</v>
      </c>
      <c r="C20" s="5" t="str">
        <f>IFERROR(__xludf.DUMMYFUNCTION("""COMPUTED_VALUE"""),"やぎすみれ")</f>
        <v>やぎすみれ</v>
      </c>
      <c r="D20" s="5">
        <f>IFERROR(__xludf.DUMMYFUNCTION("""COMPUTED_VALUE"""),1.0)</f>
        <v>1</v>
      </c>
      <c r="E20" s="5" t="str">
        <f>IFERROR(__xludf.DUMMYFUNCTION("""COMPUTED_VALUE"""),"女")</f>
        <v>女</v>
      </c>
      <c r="F20" s="5" t="str">
        <f>IFERROR(__xludf.DUMMYFUNCTION("""COMPUTED_VALUE"""),"×欠場")</f>
        <v>×欠場</v>
      </c>
      <c r="G20" s="5" t="str">
        <f>IFERROR(__xludf.DUMMYFUNCTION("""COMPUTED_VALUE"""),"×欠場")</f>
        <v>×欠場</v>
      </c>
      <c r="H20" s="5"/>
      <c r="I20" s="5" t="str">
        <f>IFERROR(__xludf.DUMMYFUNCTION("""COMPUTED_VALUE"""),"×参加しない")</f>
        <v>×参加しない</v>
      </c>
      <c r="J20" s="5"/>
      <c r="K20" s="12">
        <f t="shared" si="2"/>
        <v>0</v>
      </c>
    </row>
    <row r="21" ht="19.5" customHeight="1">
      <c r="A21" s="5">
        <f>IFERROR(__xludf.DUMMYFUNCTION("""COMPUTED_VALUE"""),354108.0)</f>
        <v>354108</v>
      </c>
      <c r="B21" s="5" t="str">
        <f>IFERROR(__xludf.DUMMYFUNCTION("""COMPUTED_VALUE"""),"大中実咲")</f>
        <v>大中実咲</v>
      </c>
      <c r="C21" s="5" t="str">
        <f>IFERROR(__xludf.DUMMYFUNCTION("""COMPUTED_VALUE"""),"おおなかみさ")</f>
        <v>おおなかみさ</v>
      </c>
      <c r="D21" s="5">
        <f>IFERROR(__xludf.DUMMYFUNCTION("""COMPUTED_VALUE"""),1.0)</f>
        <v>1</v>
      </c>
      <c r="E21" s="5" t="str">
        <f>IFERROR(__xludf.DUMMYFUNCTION("""COMPUTED_VALUE"""),"女")</f>
        <v>女</v>
      </c>
      <c r="F21" s="5" t="str">
        <f>IFERROR(__xludf.DUMMYFUNCTION("""COMPUTED_VALUE"""),"×欠場")</f>
        <v>×欠場</v>
      </c>
      <c r="G21" s="5" t="str">
        <f>IFERROR(__xludf.DUMMYFUNCTION("""COMPUTED_VALUE"""),"×欠場")</f>
        <v>×欠場</v>
      </c>
      <c r="H21" s="5"/>
      <c r="I21" s="5" t="str">
        <f>IFERROR(__xludf.DUMMYFUNCTION("""COMPUTED_VALUE"""),"×参加しない")</f>
        <v>×参加しない</v>
      </c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>
        <f>IFERROR(__xludf.DUMMYFUNCTION("""COMPUTED_VALUE"""),354109.0)</f>
        <v>354109</v>
      </c>
      <c r="B22" s="5" t="str">
        <f>IFERROR(__xludf.DUMMYFUNCTION("""COMPUTED_VALUE"""),"貝澤杏樹")</f>
        <v>貝澤杏樹</v>
      </c>
      <c r="C22" s="5" t="str">
        <f>IFERROR(__xludf.DUMMYFUNCTION("""COMPUTED_VALUE"""),"かいざわあき")</f>
        <v>かいざわあき</v>
      </c>
      <c r="D22" s="5">
        <f>IFERROR(__xludf.DUMMYFUNCTION("""COMPUTED_VALUE"""),1.0)</f>
        <v>1</v>
      </c>
      <c r="E22" s="5" t="str">
        <f>IFERROR(__xludf.DUMMYFUNCTION("""COMPUTED_VALUE"""),"女")</f>
        <v>女</v>
      </c>
      <c r="F22" s="5" t="str">
        <f>IFERROR(__xludf.DUMMYFUNCTION("""COMPUTED_VALUE"""),"×欠場")</f>
        <v>×欠場</v>
      </c>
      <c r="G22" s="5" t="str">
        <f>IFERROR(__xludf.DUMMYFUNCTION("""COMPUTED_VALUE"""),"×欠場")</f>
        <v>×欠場</v>
      </c>
      <c r="H22" s="5"/>
      <c r="I22" s="5" t="str">
        <f>IFERROR(__xludf.DUMMYFUNCTION("""COMPUTED_VALUE"""),"×参加しない")</f>
        <v>×参加しない</v>
      </c>
      <c r="J22" s="5"/>
      <c r="K22" s="12">
        <f t="shared" si="2"/>
        <v>0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>
        <f>IFERROR(__xludf.DUMMYFUNCTION("""COMPUTED_VALUE"""),354110.0)</f>
        <v>354110</v>
      </c>
      <c r="B23" s="5" t="str">
        <f>IFERROR(__xludf.DUMMYFUNCTION("""COMPUTED_VALUE"""),"堀池美穂")</f>
        <v>堀池美穂</v>
      </c>
      <c r="C23" s="5" t="str">
        <f>IFERROR(__xludf.DUMMYFUNCTION("""COMPUTED_VALUE"""),"ほりいけみほ")</f>
        <v>ほりいけみほ</v>
      </c>
      <c r="D23" s="5">
        <f>IFERROR(__xludf.DUMMYFUNCTION("""COMPUTED_VALUE"""),1.0)</f>
        <v>1</v>
      </c>
      <c r="E23" s="5" t="str">
        <f>IFERROR(__xludf.DUMMYFUNCTION("""COMPUTED_VALUE"""),"女")</f>
        <v>女</v>
      </c>
      <c r="F23" s="5" t="str">
        <f>IFERROR(__xludf.DUMMYFUNCTION("""COMPUTED_VALUE"""),"WUF")</f>
        <v>WUF</v>
      </c>
      <c r="G23" s="5" t="str">
        <f>IFERROR(__xludf.DUMMYFUNCTION("""COMPUTED_VALUE"""),"○出場")</f>
        <v>○出場</v>
      </c>
      <c r="H23" s="5">
        <f>IFERROR(__xludf.DUMMYFUNCTION("""COMPUTED_VALUE"""),524669.0)</f>
        <v>524669</v>
      </c>
      <c r="I23" s="5" t="str">
        <f>IFERROR(__xludf.DUMMYFUNCTION("""COMPUTED_VALUE"""),"○参加する")</f>
        <v>○参加する</v>
      </c>
      <c r="J23" s="5"/>
      <c r="K23" s="12">
        <f t="shared" si="2"/>
        <v>1</v>
      </c>
      <c r="M23" s="2"/>
      <c r="N23" s="4"/>
      <c r="O23" s="2"/>
      <c r="P23" s="3"/>
      <c r="Q23" s="5"/>
      <c r="R23" s="2"/>
      <c r="S23" s="4"/>
      <c r="T23" s="14"/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>
        <f>IFERROR(__xludf.DUMMYFUNCTION("""COMPUTED_VALUE"""),354112.0)</f>
        <v>354112</v>
      </c>
      <c r="B24" s="5" t="str">
        <f>IFERROR(__xludf.DUMMYFUNCTION("""COMPUTED_VALUE"""),"藤村真菜")</f>
        <v>藤村真菜</v>
      </c>
      <c r="C24" s="5" t="str">
        <f>IFERROR(__xludf.DUMMYFUNCTION("""COMPUTED_VALUE"""),"ふじむらまな")</f>
        <v>ふじむらまな</v>
      </c>
      <c r="D24" s="5">
        <f>IFERROR(__xludf.DUMMYFUNCTION("""COMPUTED_VALUE"""),1.0)</f>
        <v>1</v>
      </c>
      <c r="E24" s="5" t="str">
        <f>IFERROR(__xludf.DUMMYFUNCTION("""COMPUTED_VALUE"""),"女")</f>
        <v>女</v>
      </c>
      <c r="F24" s="5" t="str">
        <f>IFERROR(__xludf.DUMMYFUNCTION("""COMPUTED_VALUE"""),"WUF")</f>
        <v>WUF</v>
      </c>
      <c r="G24" s="5" t="str">
        <f>IFERROR(__xludf.DUMMYFUNCTION("""COMPUTED_VALUE"""),"○出場")</f>
        <v>○出場</v>
      </c>
      <c r="H24" s="5">
        <f>IFERROR(__xludf.DUMMYFUNCTION("""COMPUTED_VALUE"""),524670.0)</f>
        <v>524670</v>
      </c>
      <c r="I24" s="5" t="str">
        <f>IFERROR(__xludf.DUMMYFUNCTION("""COMPUTED_VALUE"""),"○参加する")</f>
        <v>○参加する</v>
      </c>
      <c r="J24" s="5"/>
      <c r="K24" s="12">
        <f t="shared" si="2"/>
        <v>1</v>
      </c>
      <c r="M24" s="2"/>
      <c r="N24" s="4"/>
      <c r="O24" s="2"/>
      <c r="P24" s="3"/>
      <c r="Q24" s="5"/>
      <c r="R24" s="2"/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>
        <f>IFERROR(__xludf.DUMMYFUNCTION("""COMPUTED_VALUE"""),254102.0)</f>
        <v>254102</v>
      </c>
      <c r="B25" s="5" t="str">
        <f>IFERROR(__xludf.DUMMYFUNCTION("""COMPUTED_VALUE"""),"石川智花")</f>
        <v>石川智花</v>
      </c>
      <c r="C25" s="5" t="str">
        <f>IFERROR(__xludf.DUMMYFUNCTION("""COMPUTED_VALUE"""),"いしかわちはな")</f>
        <v>いしかわちはな</v>
      </c>
      <c r="D25" s="5">
        <f>IFERROR(__xludf.DUMMYFUNCTION("""COMPUTED_VALUE"""),2.0)</f>
        <v>2</v>
      </c>
      <c r="E25" s="5" t="str">
        <f>IFERROR(__xludf.DUMMYFUNCTION("""COMPUTED_VALUE"""),"女")</f>
        <v>女</v>
      </c>
      <c r="F25" s="5" t="str">
        <f>IFERROR(__xludf.DUMMYFUNCTION("""COMPUTED_VALUE"""),"WUA")</f>
        <v>WUA</v>
      </c>
      <c r="G25" s="5" t="str">
        <f>IFERROR(__xludf.DUMMYFUNCTION("""COMPUTED_VALUE"""),"○出場")</f>
        <v>○出場</v>
      </c>
      <c r="H25" s="5">
        <f>IFERROR(__xludf.DUMMYFUNCTION("""COMPUTED_VALUE"""),525176.0)</f>
        <v>525176</v>
      </c>
      <c r="I25" s="5" t="str">
        <f>IFERROR(__xludf.DUMMYFUNCTION("""COMPUTED_VALUE"""),"×参加しない")</f>
        <v>×参加しない</v>
      </c>
      <c r="J25" s="5"/>
      <c r="K25" s="12">
        <f t="shared" si="2"/>
        <v>1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>
        <f>IFERROR(__xludf.DUMMYFUNCTION("""COMPUTED_VALUE"""),254103.0)</f>
        <v>254103</v>
      </c>
      <c r="B26" s="5" t="str">
        <f>IFERROR(__xludf.DUMMYFUNCTION("""COMPUTED_VALUE"""),"土井	萌菜")</f>
        <v>土井	萌菜</v>
      </c>
      <c r="C26" s="5" t="str">
        <f>IFERROR(__xludf.DUMMYFUNCTION("""COMPUTED_VALUE"""),"どいももな")</f>
        <v>どいももな</v>
      </c>
      <c r="D26" s="5">
        <f>IFERROR(__xludf.DUMMYFUNCTION("""COMPUTED_VALUE"""),2.0)</f>
        <v>2</v>
      </c>
      <c r="E26" s="5" t="str">
        <f>IFERROR(__xludf.DUMMYFUNCTION("""COMPUTED_VALUE"""),"女")</f>
        <v>女</v>
      </c>
      <c r="F26" s="5" t="str">
        <f>IFERROR(__xludf.DUMMYFUNCTION("""COMPUTED_VALUE"""),"WUB")</f>
        <v>WUB</v>
      </c>
      <c r="G26" s="5" t="str">
        <f>IFERROR(__xludf.DUMMYFUNCTION("""COMPUTED_VALUE"""),"○出場")</f>
        <v>○出場</v>
      </c>
      <c r="H26" s="5">
        <f>IFERROR(__xludf.DUMMYFUNCTION("""COMPUTED_VALUE"""),523107.0)</f>
        <v>523107</v>
      </c>
      <c r="I26" s="5" t="str">
        <f>IFERROR(__xludf.DUMMYFUNCTION("""COMPUTED_VALUE"""),"×参加しない")</f>
        <v>×参加しない</v>
      </c>
      <c r="J26" s="5"/>
      <c r="K26" s="12">
        <f t="shared" si="2"/>
        <v>1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>
        <f>IFERROR(__xludf.DUMMYFUNCTION("""COMPUTED_VALUE"""),254104.0)</f>
        <v>254104</v>
      </c>
      <c r="B27" s="5" t="str">
        <f>IFERROR(__xludf.DUMMYFUNCTION("""COMPUTED_VALUE"""),"西村璃子")</f>
        <v>西村璃子</v>
      </c>
      <c r="C27" s="5" t="str">
        <f>IFERROR(__xludf.DUMMYFUNCTION("""COMPUTED_VALUE"""),"にしむらりこ")</f>
        <v>にしむらりこ</v>
      </c>
      <c r="D27" s="5">
        <f>IFERROR(__xludf.DUMMYFUNCTION("""COMPUTED_VALUE"""),2.0)</f>
        <v>2</v>
      </c>
      <c r="E27" s="5" t="str">
        <f>IFERROR(__xludf.DUMMYFUNCTION("""COMPUTED_VALUE"""),"女")</f>
        <v>女</v>
      </c>
      <c r="F27" s="5" t="str">
        <f>IFERROR(__xludf.DUMMYFUNCTION("""COMPUTED_VALUE"""),"WUA")</f>
        <v>WUA</v>
      </c>
      <c r="G27" s="5" t="str">
        <f>IFERROR(__xludf.DUMMYFUNCTION("""COMPUTED_VALUE"""),"○出場")</f>
        <v>○出場</v>
      </c>
      <c r="H27" s="5">
        <f>IFERROR(__xludf.DUMMYFUNCTION("""COMPUTED_VALUE"""),525153.0)</f>
        <v>525153</v>
      </c>
      <c r="I27" s="5" t="str">
        <f>IFERROR(__xludf.DUMMYFUNCTION("""COMPUTED_VALUE"""),"×参加しない")</f>
        <v>×参加しない</v>
      </c>
      <c r="J27" s="5"/>
      <c r="K27" s="12">
        <f t="shared" si="2"/>
        <v>1</v>
      </c>
    </row>
    <row r="28" ht="19.5" customHeight="1">
      <c r="A28" s="5">
        <f>IFERROR(__xludf.DUMMYFUNCTION("""COMPUTED_VALUE"""),254105.0)</f>
        <v>254105</v>
      </c>
      <c r="B28" s="5" t="str">
        <f>IFERROR(__xludf.DUMMYFUNCTION("""COMPUTED_VALUE"""),"河合倫江")</f>
        <v>河合倫江</v>
      </c>
      <c r="C28" s="5" t="str">
        <f>IFERROR(__xludf.DUMMYFUNCTION("""COMPUTED_VALUE"""),"かわいみちえ")</f>
        <v>かわいみちえ</v>
      </c>
      <c r="D28" s="5">
        <f>IFERROR(__xludf.DUMMYFUNCTION("""COMPUTED_VALUE"""),2.0)</f>
        <v>2</v>
      </c>
      <c r="E28" s="5" t="str">
        <f>IFERROR(__xludf.DUMMYFUNCTION("""COMPUTED_VALUE"""),"女")</f>
        <v>女</v>
      </c>
      <c r="F28" s="5" t="str">
        <f>IFERROR(__xludf.DUMMYFUNCTION("""COMPUTED_VALUE"""),"×欠場")</f>
        <v>×欠場</v>
      </c>
      <c r="G28" s="5" t="str">
        <f>IFERROR(__xludf.DUMMYFUNCTION("""COMPUTED_VALUE"""),"×欠場")</f>
        <v>×欠場</v>
      </c>
      <c r="H28" s="5"/>
      <c r="I28" s="5" t="str">
        <f>IFERROR(__xludf.DUMMYFUNCTION("""COMPUTED_VALUE"""),"×参加しない")</f>
        <v>×参加しない</v>
      </c>
      <c r="J28" s="5"/>
      <c r="K28" s="12">
        <f t="shared" si="2"/>
        <v>0</v>
      </c>
    </row>
    <row r="29" ht="19.5" customHeight="1">
      <c r="A29" s="5">
        <f>IFERROR(__xludf.DUMMYFUNCTION("""COMPUTED_VALUE"""),154102.0)</f>
        <v>154102</v>
      </c>
      <c r="B29" s="5" t="str">
        <f>IFERROR(__xludf.DUMMYFUNCTION("""COMPUTED_VALUE"""),"村井涼香")</f>
        <v>村井涼香</v>
      </c>
      <c r="C29" s="5" t="str">
        <f>IFERROR(__xludf.DUMMYFUNCTION("""COMPUTED_VALUE"""),"むらいすずか")</f>
        <v>むらいすずか</v>
      </c>
      <c r="D29" s="5">
        <f>IFERROR(__xludf.DUMMYFUNCTION("""COMPUTED_VALUE"""),3.0)</f>
        <v>3</v>
      </c>
      <c r="E29" s="5" t="str">
        <f>IFERROR(__xludf.DUMMYFUNCTION("""COMPUTED_VALUE"""),"女")</f>
        <v>女</v>
      </c>
      <c r="F29" s="5" t="str">
        <f>IFERROR(__xludf.DUMMYFUNCTION("""COMPUTED_VALUE"""),"WUA")</f>
        <v>WUA</v>
      </c>
      <c r="G29" s="5" t="str">
        <f>IFERROR(__xludf.DUMMYFUNCTION("""COMPUTED_VALUE"""),"○出場")</f>
        <v>○出場</v>
      </c>
      <c r="H29" s="5">
        <f>IFERROR(__xludf.DUMMYFUNCTION("""COMPUTED_VALUE"""),525160.0)</f>
        <v>525160</v>
      </c>
      <c r="I29" s="5" t="str">
        <f>IFERROR(__xludf.DUMMYFUNCTION("""COMPUTED_VALUE"""),"×参加しない")</f>
        <v>×参加しない</v>
      </c>
      <c r="J29" s="5"/>
      <c r="K29" s="12">
        <f t="shared" si="2"/>
        <v>1</v>
      </c>
    </row>
    <row r="30" ht="19.5" customHeight="1">
      <c r="A30" s="5">
        <f>IFERROR(__xludf.DUMMYFUNCTION("""COMPUTED_VALUE"""),154107.0)</f>
        <v>154107</v>
      </c>
      <c r="B30" s="5" t="str">
        <f>IFERROR(__xludf.DUMMYFUNCTION("""COMPUTED_VALUE"""),"永田結琳")</f>
        <v>永田結琳</v>
      </c>
      <c r="C30" s="5" t="str">
        <f>IFERROR(__xludf.DUMMYFUNCTION("""COMPUTED_VALUE"""),"ながたゆり")</f>
        <v>ながたゆり</v>
      </c>
      <c r="D30" s="5">
        <f>IFERROR(__xludf.DUMMYFUNCTION("""COMPUTED_VALUE"""),3.0)</f>
        <v>3</v>
      </c>
      <c r="E30" s="5" t="str">
        <f>IFERROR(__xludf.DUMMYFUNCTION("""COMPUTED_VALUE"""),"女")</f>
        <v>女</v>
      </c>
      <c r="F30" s="5" t="str">
        <f>IFERROR(__xludf.DUMMYFUNCTION("""COMPUTED_VALUE"""),"×欠場")</f>
        <v>×欠場</v>
      </c>
      <c r="G30" s="5" t="str">
        <f>IFERROR(__xludf.DUMMYFUNCTION("""COMPUTED_VALUE"""),"×欠場")</f>
        <v>×欠場</v>
      </c>
      <c r="H30" s="5"/>
      <c r="I30" s="5" t="str">
        <f>IFERROR(__xludf.DUMMYFUNCTION("""COMPUTED_VALUE"""),"×参加しない")</f>
        <v>×参加しない</v>
      </c>
      <c r="J30" s="5"/>
      <c r="K30" s="12">
        <f t="shared" si="2"/>
        <v>0</v>
      </c>
    </row>
    <row r="31" ht="19.5" customHeight="1">
      <c r="A31" s="5">
        <f>IFERROR(__xludf.DUMMYFUNCTION("""COMPUTED_VALUE"""),154108.0)</f>
        <v>154108</v>
      </c>
      <c r="B31" s="5" t="str">
        <f>IFERROR(__xludf.DUMMYFUNCTION("""COMPUTED_VALUE"""),"澤橋さくら")</f>
        <v>澤橋さくら</v>
      </c>
      <c r="C31" s="5" t="str">
        <f>IFERROR(__xludf.DUMMYFUNCTION("""COMPUTED_VALUE"""),"さわはしさくら")</f>
        <v>さわはしさくら</v>
      </c>
      <c r="D31" s="5">
        <f>IFERROR(__xludf.DUMMYFUNCTION("""COMPUTED_VALUE"""),3.0)</f>
        <v>3</v>
      </c>
      <c r="E31" s="5" t="str">
        <f>IFERROR(__xludf.DUMMYFUNCTION("""COMPUTED_VALUE"""),"女")</f>
        <v>女</v>
      </c>
      <c r="F31" s="5" t="str">
        <f>IFERROR(__xludf.DUMMYFUNCTION("""COMPUTED_VALUE"""),"×欠場")</f>
        <v>×欠場</v>
      </c>
      <c r="G31" s="5" t="str">
        <f>IFERROR(__xludf.DUMMYFUNCTION("""COMPUTED_VALUE"""),"×欠場")</f>
        <v>×欠場</v>
      </c>
      <c r="H31" s="5"/>
      <c r="I31" s="5" t="str">
        <f>IFERROR(__xludf.DUMMYFUNCTION("""COMPUTED_VALUE"""),"×参加しない")</f>
        <v>×参加しない</v>
      </c>
      <c r="J31" s="5"/>
      <c r="K31" s="12">
        <f t="shared" si="2"/>
        <v>0</v>
      </c>
    </row>
    <row r="32" ht="19.5" customHeight="1">
      <c r="A32" s="5">
        <f>IFERROR(__xludf.DUMMYFUNCTION("""COMPUTED_VALUE"""),154109.0)</f>
        <v>154109</v>
      </c>
      <c r="B32" s="5" t="str">
        <f>IFERROR(__xludf.DUMMYFUNCTION("""COMPUTED_VALUE"""),"岩堀涼華")</f>
        <v>岩堀涼華</v>
      </c>
      <c r="C32" s="5" t="str">
        <f>IFERROR(__xludf.DUMMYFUNCTION("""COMPUTED_VALUE"""),"いわほりすずか")</f>
        <v>いわほりすずか</v>
      </c>
      <c r="D32" s="5">
        <f>IFERROR(__xludf.DUMMYFUNCTION("""COMPUTED_VALUE"""),3.0)</f>
        <v>3</v>
      </c>
      <c r="E32" s="5" t="str">
        <f>IFERROR(__xludf.DUMMYFUNCTION("""COMPUTED_VALUE"""),"女")</f>
        <v>女</v>
      </c>
      <c r="F32" s="5" t="str">
        <f>IFERROR(__xludf.DUMMYFUNCTION("""COMPUTED_VALUE"""),"WUA")</f>
        <v>WUA</v>
      </c>
      <c r="G32" s="5" t="str">
        <f>IFERROR(__xludf.DUMMYFUNCTION("""COMPUTED_VALUE"""),"○出場")</f>
        <v>○出場</v>
      </c>
      <c r="H32" s="5">
        <f>IFERROR(__xludf.DUMMYFUNCTION("""COMPUTED_VALUE"""),524672.0)</f>
        <v>524672</v>
      </c>
      <c r="I32" s="5" t="str">
        <f>IFERROR(__xludf.DUMMYFUNCTION("""COMPUTED_VALUE"""),"×参加しない")</f>
        <v>×参加しない</v>
      </c>
      <c r="J32" s="5"/>
      <c r="K32" s="12">
        <f t="shared" si="2"/>
        <v>1</v>
      </c>
    </row>
    <row r="33" ht="19.5" customHeight="1">
      <c r="A33" s="5">
        <f>IFERROR(__xludf.DUMMYFUNCTION("""COMPUTED_VALUE"""),54101.0)</f>
        <v>54101</v>
      </c>
      <c r="B33" s="5" t="str">
        <f>IFERROR(__xludf.DUMMYFUNCTION("""COMPUTED_VALUE"""),"寺本遊林")</f>
        <v>寺本遊林</v>
      </c>
      <c r="C33" s="5" t="str">
        <f>IFERROR(__xludf.DUMMYFUNCTION("""COMPUTED_VALUE"""),"てらもとゆりん")</f>
        <v>てらもとゆりん</v>
      </c>
      <c r="D33" s="5">
        <f>IFERROR(__xludf.DUMMYFUNCTION("""COMPUTED_VALUE"""),4.0)</f>
        <v>4</v>
      </c>
      <c r="E33" s="5" t="str">
        <f>IFERROR(__xludf.DUMMYFUNCTION("""COMPUTED_VALUE"""),"女")</f>
        <v>女</v>
      </c>
      <c r="F33" s="5" t="str">
        <f>IFERROR(__xludf.DUMMYFUNCTION("""COMPUTED_VALUE"""),"WUA")</f>
        <v>WUA</v>
      </c>
      <c r="G33" s="5" t="str">
        <f>IFERROR(__xludf.DUMMYFUNCTION("""COMPUTED_VALUE"""),"○出場")</f>
        <v>○出場</v>
      </c>
      <c r="H33" s="5">
        <f>IFERROR(__xludf.DUMMYFUNCTION("""COMPUTED_VALUE"""),523104.0)</f>
        <v>523104</v>
      </c>
      <c r="I33" s="5" t="str">
        <f>IFERROR(__xludf.DUMMYFUNCTION("""COMPUTED_VALUE"""),"×参加しない")</f>
        <v>×参加しない</v>
      </c>
      <c r="J33" s="5"/>
      <c r="K33" s="12">
        <f t="shared" si="2"/>
        <v>1</v>
      </c>
    </row>
    <row r="34" ht="19.5" customHeight="1">
      <c r="A34" s="5">
        <f>IFERROR(__xludf.DUMMYFUNCTION("""COMPUTED_VALUE"""),54102.0)</f>
        <v>54102</v>
      </c>
      <c r="B34" s="5" t="str">
        <f>IFERROR(__xludf.DUMMYFUNCTION("""COMPUTED_VALUE"""),"高谷美帆")</f>
        <v>高谷美帆</v>
      </c>
      <c r="C34" s="5" t="str">
        <f>IFERROR(__xludf.DUMMYFUNCTION("""COMPUTED_VALUE"""),"たかたにみほ")</f>
        <v>たかたにみほ</v>
      </c>
      <c r="D34" s="5">
        <f>IFERROR(__xludf.DUMMYFUNCTION("""COMPUTED_VALUE"""),4.0)</f>
        <v>4</v>
      </c>
      <c r="E34" s="5" t="str">
        <f>IFERROR(__xludf.DUMMYFUNCTION("""COMPUTED_VALUE"""),"女")</f>
        <v>女</v>
      </c>
      <c r="F34" s="5" t="str">
        <f>IFERROR(__xludf.DUMMYFUNCTION("""COMPUTED_VALUE"""),"×欠場")</f>
        <v>×欠場</v>
      </c>
      <c r="G34" s="5" t="str">
        <f>IFERROR(__xludf.DUMMYFUNCTION("""COMPUTED_VALUE"""),"×欠場")</f>
        <v>×欠場</v>
      </c>
      <c r="H34" s="5"/>
      <c r="I34" s="5" t="str">
        <f>IFERROR(__xludf.DUMMYFUNCTION("""COMPUTED_VALUE"""),"×参加しない")</f>
        <v>×参加しない</v>
      </c>
      <c r="J34" s="5"/>
      <c r="K34" s="12">
        <f t="shared" si="2"/>
        <v>0</v>
      </c>
    </row>
    <row r="3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12">
        <f t="shared" si="2"/>
        <v>0</v>
      </c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12">
        <f t="shared" si="2"/>
        <v>0</v>
      </c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12">
        <f t="shared" si="2"/>
        <v>0</v>
      </c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12">
        <f t="shared" si="2"/>
        <v>0</v>
      </c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12">
        <f t="shared" si="2"/>
        <v>0</v>
      </c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12">
        <f t="shared" si="2"/>
        <v>0</v>
      </c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12">
        <f t="shared" si="2"/>
        <v>0</v>
      </c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12">
        <f t="shared" si="2"/>
        <v>0</v>
      </c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12">
        <f t="shared" si="2"/>
        <v>0</v>
      </c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12">
        <f t="shared" si="2"/>
        <v>0</v>
      </c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2">
        <f t="shared" si="2"/>
        <v>0</v>
      </c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2">
        <f t="shared" si="2"/>
        <v>0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2041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1</v>
      </c>
      <c r="E4" s="7">
        <f t="shared" ref="E4:E6" si="1">C4*D4</f>
        <v>8500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0</v>
      </c>
      <c r="E5" s="7">
        <f t="shared" si="1"/>
        <v>0</v>
      </c>
    </row>
    <row r="6" ht="19.5" customHeight="1">
      <c r="A6" s="2" t="s">
        <v>9</v>
      </c>
      <c r="B6" s="4"/>
      <c r="C6" s="7">
        <v>32700.0</v>
      </c>
      <c r="D6" s="5">
        <f>D4+D5</f>
        <v>1</v>
      </c>
      <c r="E6" s="7">
        <f t="shared" si="1"/>
        <v>32700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1</v>
      </c>
      <c r="E7" s="7">
        <f>C7*D7/3</f>
        <v>1500</v>
      </c>
      <c r="F7" s="52" t="s">
        <v>2319</v>
      </c>
    </row>
    <row r="8" ht="19.5" customHeight="1">
      <c r="A8" s="2" t="s">
        <v>11</v>
      </c>
      <c r="B8" s="4"/>
      <c r="C8" s="7">
        <v>500.0</v>
      </c>
      <c r="D8" s="5">
        <f>D4-COUNT(H14:H201)</f>
        <v>0</v>
      </c>
      <c r="E8" s="7">
        <f>C8*D8</f>
        <v>0</v>
      </c>
    </row>
    <row r="9" ht="19.5" customHeight="1">
      <c r="A9" s="9"/>
      <c r="B9" s="9"/>
      <c r="C9" s="9"/>
      <c r="D9" s="10" t="s">
        <v>5</v>
      </c>
      <c r="E9" s="11">
        <f>SUM(E4:E8)</f>
        <v>42700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IFERROR(__xludf.DUMMYFUNCTION("FILTER('個人別エントリー'!C2:L1018,'個人別エントリー'!B2:B1018=A1)"),54401.0)</f>
        <v>54401</v>
      </c>
      <c r="B14" s="5" t="str">
        <f>IFERROR(__xludf.DUMMYFUNCTION("""COMPUTED_VALUE"""),"橋本遼佑")</f>
        <v>橋本遼佑</v>
      </c>
      <c r="C14" s="5" t="str">
        <f>IFERROR(__xludf.DUMMYFUNCTION("""COMPUTED_VALUE"""),"はしもとりょうすけ")</f>
        <v>はしもとりょうすけ</v>
      </c>
      <c r="D14" s="5">
        <f>IFERROR(__xludf.DUMMYFUNCTION("""COMPUTED_VALUE"""),4.0)</f>
        <v>4</v>
      </c>
      <c r="E14" s="5" t="str">
        <f>IFERROR(__xludf.DUMMYFUNCTION("""COMPUTED_VALUE"""),"男")</f>
        <v>男</v>
      </c>
      <c r="F14" s="5" t="str">
        <f>IFERROR(__xludf.DUMMYFUNCTION("""COMPUTED_VALUE"""),"MUA")</f>
        <v>MUA</v>
      </c>
      <c r="G14" s="5" t="str">
        <f>IFERROR(__xludf.DUMMYFUNCTION("""COMPUTED_VALUE"""),"○出場")</f>
        <v>○出場</v>
      </c>
      <c r="H14" s="5">
        <f>IFERROR(__xludf.DUMMYFUNCTION("""COMPUTED_VALUE"""),519404.0)</f>
        <v>519404</v>
      </c>
      <c r="I14" s="5" t="str">
        <f>IFERROR(__xludf.DUMMYFUNCTION("""COMPUTED_VALUE"""),"○参加する")</f>
        <v>○参加する</v>
      </c>
      <c r="J14" s="5"/>
      <c r="K14" s="12">
        <f t="shared" ref="K14:K201" si="2">IF(AND(OR(F14="×欠場",F14=""),OR(G14="×欠場",G14="")),0,1)</f>
        <v>1</v>
      </c>
      <c r="M14" s="5" t="str">
        <f>IFERROR(__xludf.DUMMYFUNCTION("FILTER('リレー内容'!$C$2:$K$51,'リレー内容'!$B$2:$B$51=A1)"),"○出場")</f>
        <v>○出場</v>
      </c>
      <c r="N14" s="5" t="str">
        <f>IFERROR(__xludf.DUMMYFUNCTION("""COMPUTED_VALUE"""),"×欠場")</f>
        <v>×欠場</v>
      </c>
      <c r="O14" s="5">
        <f>IFERROR(__xludf.DUMMYFUNCTION("""COMPUTED_VALUE"""),0.0)</f>
        <v>0</v>
      </c>
      <c r="P14" s="5">
        <f>IFERROR(__xludf.DUMMYFUNCTION("""COMPUTED_VALUE"""),0.0)</f>
        <v>0</v>
      </c>
      <c r="Q14" s="5">
        <f>IFERROR(__xludf.DUMMYFUNCTION("""COMPUTED_VALUE"""),0.0)</f>
        <v>0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12">
        <f t="shared" si="2"/>
        <v>0</v>
      </c>
    </row>
    <row r="16" ht="19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12">
        <f t="shared" si="2"/>
        <v>0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12">
        <f t="shared" si="2"/>
        <v>0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12">
        <f t="shared" si="2"/>
        <v>0</v>
      </c>
      <c r="M18" s="5" t="s">
        <v>25</v>
      </c>
      <c r="N18" s="2"/>
      <c r="O18" s="4"/>
      <c r="P18" s="48" t="s">
        <v>2320</v>
      </c>
      <c r="Q18" s="3"/>
      <c r="R18" s="3"/>
      <c r="S18" s="3"/>
      <c r="T18" s="3"/>
      <c r="U18" s="4"/>
    </row>
    <row r="19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12">
        <f t="shared" si="2"/>
        <v>0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12">
        <f t="shared" si="2"/>
        <v>0</v>
      </c>
    </row>
    <row r="21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12">
        <f t="shared" si="2"/>
        <v>0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2">
        <f t="shared" si="2"/>
        <v>0</v>
      </c>
      <c r="M23" s="2"/>
      <c r="N23" s="4"/>
      <c r="O23" s="2"/>
      <c r="P23" s="3"/>
      <c r="Q23" s="5"/>
      <c r="R23" s="2"/>
      <c r="S23" s="4"/>
      <c r="T23" s="14"/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2">
        <f t="shared" si="2"/>
        <v>0</v>
      </c>
      <c r="M24" s="2"/>
      <c r="N24" s="4"/>
      <c r="O24" s="2"/>
      <c r="P24" s="3"/>
      <c r="Q24" s="5"/>
      <c r="R24" s="2"/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12">
        <f t="shared" si="2"/>
        <v>0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12">
        <f t="shared" si="2"/>
        <v>0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12">
        <f t="shared" si="2"/>
        <v>0</v>
      </c>
    </row>
    <row r="28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12">
        <f t="shared" si="2"/>
        <v>0</v>
      </c>
    </row>
    <row r="29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12">
        <f t="shared" si="2"/>
        <v>0</v>
      </c>
    </row>
    <row r="3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12">
        <f t="shared" si="2"/>
        <v>0</v>
      </c>
    </row>
    <row r="31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12">
        <f t="shared" si="2"/>
        <v>0</v>
      </c>
    </row>
    <row r="32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12">
        <f t="shared" si="2"/>
        <v>0</v>
      </c>
    </row>
    <row r="33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12">
        <f t="shared" si="2"/>
        <v>0</v>
      </c>
    </row>
    <row r="34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12">
        <f t="shared" si="2"/>
        <v>0</v>
      </c>
    </row>
    <row r="3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12">
        <f t="shared" si="2"/>
        <v>0</v>
      </c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12">
        <f t="shared" si="2"/>
        <v>0</v>
      </c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12">
        <f t="shared" si="2"/>
        <v>0</v>
      </c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12">
        <f t="shared" si="2"/>
        <v>0</v>
      </c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12">
        <f t="shared" si="2"/>
        <v>0</v>
      </c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12">
        <f t="shared" si="2"/>
        <v>0</v>
      </c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12">
        <f t="shared" si="2"/>
        <v>0</v>
      </c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12">
        <f t="shared" si="2"/>
        <v>0</v>
      </c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12">
        <f t="shared" si="2"/>
        <v>0</v>
      </c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12">
        <f t="shared" si="2"/>
        <v>0</v>
      </c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2">
        <f t="shared" si="2"/>
        <v>0</v>
      </c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2">
        <f t="shared" si="2"/>
        <v>0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2044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7</v>
      </c>
      <c r="E4" s="7">
        <f t="shared" ref="E4:E8" si="1">C4*D4</f>
        <v>59500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1</v>
      </c>
      <c r="E5" s="7">
        <f t="shared" si="1"/>
        <v>8000</v>
      </c>
    </row>
    <row r="6" ht="19.5" customHeight="1">
      <c r="A6" s="2" t="s">
        <v>9</v>
      </c>
      <c r="B6" s="4"/>
      <c r="C6" s="7">
        <v>32700.0</v>
      </c>
      <c r="D6" s="5">
        <f>D4+D5</f>
        <v>8</v>
      </c>
      <c r="E6" s="7">
        <f t="shared" si="1"/>
        <v>261600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1</v>
      </c>
      <c r="E7" s="7">
        <f t="shared" si="1"/>
        <v>4500</v>
      </c>
    </row>
    <row r="8" ht="19.5" customHeight="1">
      <c r="A8" s="2" t="s">
        <v>11</v>
      </c>
      <c r="B8" s="4"/>
      <c r="C8" s="7">
        <v>500.0</v>
      </c>
      <c r="D8" s="5">
        <f>D4-COUNT(H14:H201)</f>
        <v>3</v>
      </c>
      <c r="E8" s="7">
        <f t="shared" si="1"/>
        <v>1500</v>
      </c>
    </row>
    <row r="9" ht="19.5" customHeight="1">
      <c r="A9" s="9"/>
      <c r="B9" s="9"/>
      <c r="C9" s="9"/>
      <c r="D9" s="10" t="s">
        <v>5</v>
      </c>
      <c r="E9" s="11">
        <f>SUM(E4:E8)</f>
        <v>335100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IFERROR(__xludf.DUMMYFUNCTION("FILTER('個人別エントリー'!C2:L1018,'個人別エントリー'!B2:B1018=A1)"),354501.0)</f>
        <v>354501</v>
      </c>
      <c r="B14" s="5" t="str">
        <f>IFERROR(__xludf.DUMMYFUNCTION("""COMPUTED_VALUE"""),"池山芽生")</f>
        <v>池山芽生</v>
      </c>
      <c r="C14" s="5" t="str">
        <f>IFERROR(__xludf.DUMMYFUNCTION("""COMPUTED_VALUE"""),"いけやまめい")</f>
        <v>いけやまめい</v>
      </c>
      <c r="D14" s="5">
        <f>IFERROR(__xludf.DUMMYFUNCTION("""COMPUTED_VALUE"""),1.0)</f>
        <v>1</v>
      </c>
      <c r="E14" s="5" t="str">
        <f>IFERROR(__xludf.DUMMYFUNCTION("""COMPUTED_VALUE"""),"女")</f>
        <v>女</v>
      </c>
      <c r="F14" s="5" t="str">
        <f>IFERROR(__xludf.DUMMYFUNCTION("""COMPUTED_VALUE"""),"×欠場")</f>
        <v>×欠場</v>
      </c>
      <c r="G14" s="5" t="str">
        <f>IFERROR(__xludf.DUMMYFUNCTION("""COMPUTED_VALUE"""),"×欠場")</f>
        <v>×欠場</v>
      </c>
      <c r="H14" s="5"/>
      <c r="I14" s="5" t="str">
        <f>IFERROR(__xludf.DUMMYFUNCTION("""COMPUTED_VALUE"""),"×参加しない")</f>
        <v>×参加しない</v>
      </c>
      <c r="J14" s="5"/>
      <c r="K14" s="12">
        <f t="shared" ref="K14:K201" si="2">IF(AND(OR(F14="×欠場",F14=""),OR(G14="×欠場",G14="")),0,1)</f>
        <v>0</v>
      </c>
      <c r="M14" s="5" t="str">
        <f>IFERROR(__xludf.DUMMYFUNCTION("FILTER('リレー内容'!$C$2:$K$51,'リレー内容'!$B$2:$B$51=A1)"),"×欠場")</f>
        <v>×欠場</v>
      </c>
      <c r="N14" s="5" t="str">
        <f>IFERROR(__xludf.DUMMYFUNCTION("""COMPUTED_VALUE"""),"○出場")</f>
        <v>○出場</v>
      </c>
      <c r="O14" s="5">
        <f>IFERROR(__xludf.DUMMYFUNCTION("""COMPUTED_VALUE"""),0.0)</f>
        <v>0</v>
      </c>
      <c r="P14" s="5">
        <f>IFERROR(__xludf.DUMMYFUNCTION("""COMPUTED_VALUE"""),1.0)</f>
        <v>1</v>
      </c>
      <c r="Q14" s="5">
        <f>IFERROR(__xludf.DUMMYFUNCTION("""COMPUTED_VALUE"""),0.0)</f>
        <v>0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IFERROR(__xludf.DUMMYFUNCTION("""COMPUTED_VALUE"""),354502.0)</f>
        <v>354502</v>
      </c>
      <c r="B15" s="5" t="str">
        <f>IFERROR(__xludf.DUMMYFUNCTION("""COMPUTED_VALUE"""),"三科百々果")</f>
        <v>三科百々果</v>
      </c>
      <c r="C15" s="5" t="str">
        <f>IFERROR(__xludf.DUMMYFUNCTION("""COMPUTED_VALUE"""),"みしなももか")</f>
        <v>みしなももか</v>
      </c>
      <c r="D15" s="5">
        <f>IFERROR(__xludf.DUMMYFUNCTION("""COMPUTED_VALUE"""),1.0)</f>
        <v>1</v>
      </c>
      <c r="E15" s="5" t="str">
        <f>IFERROR(__xludf.DUMMYFUNCTION("""COMPUTED_VALUE"""),"女")</f>
        <v>女</v>
      </c>
      <c r="F15" s="5" t="str">
        <f>IFERROR(__xludf.DUMMYFUNCTION("""COMPUTED_VALUE"""),"×欠場")</f>
        <v>×欠場</v>
      </c>
      <c r="G15" s="5" t="str">
        <f>IFERROR(__xludf.DUMMYFUNCTION("""COMPUTED_VALUE"""),"×欠場")</f>
        <v>×欠場</v>
      </c>
      <c r="H15" s="5"/>
      <c r="I15" s="5" t="str">
        <f>IFERROR(__xludf.DUMMYFUNCTION("""COMPUTED_VALUE"""),"×参加しない")</f>
        <v>×参加しない</v>
      </c>
      <c r="J15" s="5"/>
      <c r="K15" s="12">
        <f t="shared" si="2"/>
        <v>0</v>
      </c>
    </row>
    <row r="16" ht="19.5" customHeight="1">
      <c r="A16" s="5">
        <f>IFERROR(__xludf.DUMMYFUNCTION("""COMPUTED_VALUE"""),354503.0)</f>
        <v>354503</v>
      </c>
      <c r="B16" s="5" t="str">
        <f>IFERROR(__xludf.DUMMYFUNCTION("""COMPUTED_VALUE"""),"米津明日智")</f>
        <v>米津明日智</v>
      </c>
      <c r="C16" s="5" t="str">
        <f>IFERROR(__xludf.DUMMYFUNCTION("""COMPUTED_VALUE"""),"よねつあずさ")</f>
        <v>よねつあずさ</v>
      </c>
      <c r="D16" s="5">
        <f>IFERROR(__xludf.DUMMYFUNCTION("""COMPUTED_VALUE"""),1.0)</f>
        <v>1</v>
      </c>
      <c r="E16" s="5" t="str">
        <f>IFERROR(__xludf.DUMMYFUNCTION("""COMPUTED_VALUE"""),"女")</f>
        <v>女</v>
      </c>
      <c r="F16" s="5" t="str">
        <f>IFERROR(__xludf.DUMMYFUNCTION("""COMPUTED_VALUE"""),"×欠場")</f>
        <v>×欠場</v>
      </c>
      <c r="G16" s="5" t="str">
        <f>IFERROR(__xludf.DUMMYFUNCTION("""COMPUTED_VALUE"""),"×欠場")</f>
        <v>×欠場</v>
      </c>
      <c r="H16" s="5"/>
      <c r="I16" s="5" t="str">
        <f>IFERROR(__xludf.DUMMYFUNCTION("""COMPUTED_VALUE"""),"×参加しない")</f>
        <v>×参加しない</v>
      </c>
      <c r="J16" s="5"/>
      <c r="K16" s="12">
        <f t="shared" si="2"/>
        <v>0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>
        <f>IFERROR(__xludf.DUMMYFUNCTION("""COMPUTED_VALUE"""),354504.0)</f>
        <v>354504</v>
      </c>
      <c r="B17" s="5" t="str">
        <f>IFERROR(__xludf.DUMMYFUNCTION("""COMPUTED_VALUE"""),"野村佳那")</f>
        <v>野村佳那</v>
      </c>
      <c r="C17" s="5" t="str">
        <f>IFERROR(__xludf.DUMMYFUNCTION("""COMPUTED_VALUE"""),"のむらかな")</f>
        <v>のむらかな</v>
      </c>
      <c r="D17" s="5">
        <f>IFERROR(__xludf.DUMMYFUNCTION("""COMPUTED_VALUE"""),1.0)</f>
        <v>1</v>
      </c>
      <c r="E17" s="5" t="str">
        <f>IFERROR(__xludf.DUMMYFUNCTION("""COMPUTED_VALUE"""),"女")</f>
        <v>女</v>
      </c>
      <c r="F17" s="5" t="str">
        <f>IFERROR(__xludf.DUMMYFUNCTION("""COMPUTED_VALUE"""),"×欠場")</f>
        <v>×欠場</v>
      </c>
      <c r="G17" s="5" t="str">
        <f>IFERROR(__xludf.DUMMYFUNCTION("""COMPUTED_VALUE"""),"×欠場")</f>
        <v>×欠場</v>
      </c>
      <c r="H17" s="5"/>
      <c r="I17" s="5" t="str">
        <f>IFERROR(__xludf.DUMMYFUNCTION("""COMPUTED_VALUE"""),"×参加しない")</f>
        <v>×参加しない</v>
      </c>
      <c r="J17" s="5"/>
      <c r="K17" s="12">
        <f t="shared" si="2"/>
        <v>0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>
        <f>IFERROR(__xludf.DUMMYFUNCTION("""COMPUTED_VALUE"""),354505.0)</f>
        <v>354505</v>
      </c>
      <c r="B18" s="5" t="str">
        <f>IFERROR(__xludf.DUMMYFUNCTION("""COMPUTED_VALUE"""),"岡野美希")</f>
        <v>岡野美希</v>
      </c>
      <c r="C18" s="5" t="str">
        <f>IFERROR(__xludf.DUMMYFUNCTION("""COMPUTED_VALUE"""),"おかのみき")</f>
        <v>おかのみき</v>
      </c>
      <c r="D18" s="5">
        <f>IFERROR(__xludf.DUMMYFUNCTION("""COMPUTED_VALUE"""),1.0)</f>
        <v>1</v>
      </c>
      <c r="E18" s="5" t="str">
        <f>IFERROR(__xludf.DUMMYFUNCTION("""COMPUTED_VALUE"""),"女")</f>
        <v>女</v>
      </c>
      <c r="F18" s="5" t="str">
        <f>IFERROR(__xludf.DUMMYFUNCTION("""COMPUTED_VALUE"""),"×欠場")</f>
        <v>×欠場</v>
      </c>
      <c r="G18" s="5" t="str">
        <f>IFERROR(__xludf.DUMMYFUNCTION("""COMPUTED_VALUE"""),"×欠場")</f>
        <v>×欠場</v>
      </c>
      <c r="H18" s="5"/>
      <c r="I18" s="5" t="str">
        <f>IFERROR(__xludf.DUMMYFUNCTION("""COMPUTED_VALUE"""),"×参加しない")</f>
        <v>×参加しない</v>
      </c>
      <c r="J18" s="5"/>
      <c r="K18" s="12">
        <f t="shared" si="2"/>
        <v>0</v>
      </c>
      <c r="M18" s="5" t="s">
        <v>32</v>
      </c>
      <c r="N18" s="2" t="s">
        <v>1636</v>
      </c>
      <c r="O18" s="4"/>
      <c r="P18" s="2" t="s">
        <v>2334</v>
      </c>
      <c r="Q18" s="3"/>
      <c r="R18" s="3"/>
      <c r="S18" s="3"/>
      <c r="T18" s="3"/>
      <c r="U18" s="4"/>
    </row>
    <row r="19" ht="19.5" customHeight="1">
      <c r="A19" s="5">
        <f>IFERROR(__xludf.DUMMYFUNCTION("""COMPUTED_VALUE"""),354506.0)</f>
        <v>354506</v>
      </c>
      <c r="B19" s="5" t="str">
        <f>IFERROR(__xludf.DUMMYFUNCTION("""COMPUTED_VALUE"""),"根岸歩可")</f>
        <v>根岸歩可</v>
      </c>
      <c r="C19" s="5" t="str">
        <f>IFERROR(__xludf.DUMMYFUNCTION("""COMPUTED_VALUE"""),"ねぎしあゆか")</f>
        <v>ねぎしあゆか</v>
      </c>
      <c r="D19" s="5">
        <f>IFERROR(__xludf.DUMMYFUNCTION("""COMPUTED_VALUE"""),1.0)</f>
        <v>1</v>
      </c>
      <c r="E19" s="5" t="str">
        <f>IFERROR(__xludf.DUMMYFUNCTION("""COMPUTED_VALUE"""),"女")</f>
        <v>女</v>
      </c>
      <c r="F19" s="5" t="str">
        <f>IFERROR(__xludf.DUMMYFUNCTION("""COMPUTED_VALUE"""),"×欠場")</f>
        <v>×欠場</v>
      </c>
      <c r="G19" s="5" t="str">
        <f>IFERROR(__xludf.DUMMYFUNCTION("""COMPUTED_VALUE"""),"×欠場")</f>
        <v>×欠場</v>
      </c>
      <c r="H19" s="5"/>
      <c r="I19" s="5" t="str">
        <f>IFERROR(__xludf.DUMMYFUNCTION("""COMPUTED_VALUE"""),"×参加しない")</f>
        <v>×参加しない</v>
      </c>
      <c r="J19" s="5"/>
      <c r="K19" s="12">
        <f t="shared" si="2"/>
        <v>0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>
        <f>IFERROR(__xludf.DUMMYFUNCTION("""COMPUTED_VALUE"""),354507.0)</f>
        <v>354507</v>
      </c>
      <c r="B20" s="5" t="str">
        <f>IFERROR(__xludf.DUMMYFUNCTION("""COMPUTED_VALUE"""),"松山弥生")</f>
        <v>松山弥生</v>
      </c>
      <c r="C20" s="5" t="str">
        <f>IFERROR(__xludf.DUMMYFUNCTION("""COMPUTED_VALUE"""),"まつやまやよい")</f>
        <v>まつやまやよい</v>
      </c>
      <c r="D20" s="5">
        <f>IFERROR(__xludf.DUMMYFUNCTION("""COMPUTED_VALUE"""),1.0)</f>
        <v>1</v>
      </c>
      <c r="E20" s="5" t="str">
        <f>IFERROR(__xludf.DUMMYFUNCTION("""COMPUTED_VALUE"""),"女")</f>
        <v>女</v>
      </c>
      <c r="F20" s="5" t="str">
        <f>IFERROR(__xludf.DUMMYFUNCTION("""COMPUTED_VALUE"""),"×欠場")</f>
        <v>×欠場</v>
      </c>
      <c r="G20" s="5" t="str">
        <f>IFERROR(__xludf.DUMMYFUNCTION("""COMPUTED_VALUE"""),"×欠場")</f>
        <v>×欠場</v>
      </c>
      <c r="H20" s="5"/>
      <c r="I20" s="5" t="str">
        <f>IFERROR(__xludf.DUMMYFUNCTION("""COMPUTED_VALUE"""),"×参加しない")</f>
        <v>×参加しない</v>
      </c>
      <c r="J20" s="5"/>
      <c r="K20" s="12">
        <f t="shared" si="2"/>
        <v>0</v>
      </c>
    </row>
    <row r="21" ht="19.5" customHeight="1">
      <c r="A21" s="5">
        <f>IFERROR(__xludf.DUMMYFUNCTION("""COMPUTED_VALUE"""),354508.0)</f>
        <v>354508</v>
      </c>
      <c r="B21" s="5" t="str">
        <f>IFERROR(__xludf.DUMMYFUNCTION("""COMPUTED_VALUE"""),"森すみれ")</f>
        <v>森すみれ</v>
      </c>
      <c r="C21" s="5" t="str">
        <f>IFERROR(__xludf.DUMMYFUNCTION("""COMPUTED_VALUE"""),"もりすみれ")</f>
        <v>もりすみれ</v>
      </c>
      <c r="D21" s="5">
        <f>IFERROR(__xludf.DUMMYFUNCTION("""COMPUTED_VALUE"""),1.0)</f>
        <v>1</v>
      </c>
      <c r="E21" s="5" t="str">
        <f>IFERROR(__xludf.DUMMYFUNCTION("""COMPUTED_VALUE"""),"女")</f>
        <v>女</v>
      </c>
      <c r="F21" s="5" t="str">
        <f>IFERROR(__xludf.DUMMYFUNCTION("""COMPUTED_VALUE"""),"×欠場")</f>
        <v>×欠場</v>
      </c>
      <c r="G21" s="5" t="str">
        <f>IFERROR(__xludf.DUMMYFUNCTION("""COMPUTED_VALUE"""),"×欠場")</f>
        <v>×欠場</v>
      </c>
      <c r="H21" s="5"/>
      <c r="I21" s="5" t="str">
        <f>IFERROR(__xludf.DUMMYFUNCTION("""COMPUTED_VALUE"""),"×参加しない")</f>
        <v>×参加しない</v>
      </c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>
        <f>IFERROR(__xludf.DUMMYFUNCTION("""COMPUTED_VALUE"""),354509.0)</f>
        <v>354509</v>
      </c>
      <c r="B22" s="5" t="str">
        <f>IFERROR(__xludf.DUMMYFUNCTION("""COMPUTED_VALUE"""),"氣賀和香")</f>
        <v>氣賀和香</v>
      </c>
      <c r="C22" s="5" t="str">
        <f>IFERROR(__xludf.DUMMYFUNCTION("""COMPUTED_VALUE"""),"きがのどか")</f>
        <v>きがのどか</v>
      </c>
      <c r="D22" s="5">
        <f>IFERROR(__xludf.DUMMYFUNCTION("""COMPUTED_VALUE"""),1.0)</f>
        <v>1</v>
      </c>
      <c r="E22" s="5" t="str">
        <f>IFERROR(__xludf.DUMMYFUNCTION("""COMPUTED_VALUE"""),"女")</f>
        <v>女</v>
      </c>
      <c r="F22" s="5" t="str">
        <f>IFERROR(__xludf.DUMMYFUNCTION("""COMPUTED_VALUE"""),"×欠場")</f>
        <v>×欠場</v>
      </c>
      <c r="G22" s="5" t="str">
        <f>IFERROR(__xludf.DUMMYFUNCTION("""COMPUTED_VALUE"""),"×欠場")</f>
        <v>×欠場</v>
      </c>
      <c r="H22" s="5"/>
      <c r="I22" s="5" t="str">
        <f>IFERROR(__xludf.DUMMYFUNCTION("""COMPUTED_VALUE"""),"×参加しない")</f>
        <v>×参加しない</v>
      </c>
      <c r="J22" s="5"/>
      <c r="K22" s="12">
        <f t="shared" si="2"/>
        <v>0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>
        <f>IFERROR(__xludf.DUMMYFUNCTION("""COMPUTED_VALUE"""),354510.0)</f>
        <v>354510</v>
      </c>
      <c r="B23" s="5" t="str">
        <f>IFERROR(__xludf.DUMMYFUNCTION("""COMPUTED_VALUE"""),"志村百彩")</f>
        <v>志村百彩</v>
      </c>
      <c r="C23" s="5" t="str">
        <f>IFERROR(__xludf.DUMMYFUNCTION("""COMPUTED_VALUE"""),"しむらももか")</f>
        <v>しむらももか</v>
      </c>
      <c r="D23" s="5">
        <f>IFERROR(__xludf.DUMMYFUNCTION("""COMPUTED_VALUE"""),1.0)</f>
        <v>1</v>
      </c>
      <c r="E23" s="5" t="str">
        <f>IFERROR(__xludf.DUMMYFUNCTION("""COMPUTED_VALUE"""),"女")</f>
        <v>女</v>
      </c>
      <c r="F23" s="5" t="str">
        <f>IFERROR(__xludf.DUMMYFUNCTION("""COMPUTED_VALUE"""),"×欠場")</f>
        <v>×欠場</v>
      </c>
      <c r="G23" s="5" t="str">
        <f>IFERROR(__xludf.DUMMYFUNCTION("""COMPUTED_VALUE"""),"×欠場")</f>
        <v>×欠場</v>
      </c>
      <c r="H23" s="5"/>
      <c r="I23" s="5" t="str">
        <f>IFERROR(__xludf.DUMMYFUNCTION("""COMPUTED_VALUE"""),"×参加しない")</f>
        <v>×参加しない</v>
      </c>
      <c r="J23" s="5"/>
      <c r="K23" s="12">
        <f t="shared" si="2"/>
        <v>0</v>
      </c>
      <c r="M23" s="2" t="str">
        <f>IFERROR(__xludf.DUMMYFUNCTION("FILTER('オフィシャル'!$B$2:$B$65,'オフィシャル'!$A$2:$A$65=A1)"),"藤田奈津美")</f>
        <v>藤田奈津美</v>
      </c>
      <c r="N23" s="4"/>
      <c r="O23" s="2" t="str">
        <f>IFERROR(__xludf.DUMMYFUNCTION("FILTER('オフィシャル'!$C$2:$C$65,'オフィシャル'!$A$2:$A$65=A1)"),"ふじたなつみ")</f>
        <v>ふじたなつみ</v>
      </c>
      <c r="P23" s="3"/>
      <c r="Q23" s="5" t="str">
        <f>IFERROR(__xludf.DUMMYFUNCTION("FILTER('オフィシャル'!$D$2:$D$65,'オフィシャル'!$A$2:$A$65=A1)"),"女")</f>
        <v>女</v>
      </c>
      <c r="R23" s="2" t="str">
        <f>IFERROR(__xludf.DUMMYFUNCTION("FILTER('オフィシャル'!$E$2:$E$65,'オフィシャル'!$A$2:$A$65=A1)"),"○する")</f>
        <v>○する</v>
      </c>
      <c r="S23" s="4"/>
      <c r="T23" s="14" t="str">
        <f>IFERROR(__xludf.DUMMYFUNCTION("FILTER('オフィシャル'!$F$2:$F$65,'オフィシャル'!$A$2:$A$65=A1)"),"")</f>
        <v/>
      </c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>
        <f>IFERROR(__xludf.DUMMYFUNCTION("""COMPUTED_VALUE"""),354511.0)</f>
        <v>354511</v>
      </c>
      <c r="B24" s="5" t="str">
        <f>IFERROR(__xludf.DUMMYFUNCTION("""COMPUTED_VALUE"""),"齋藤夢")</f>
        <v>齋藤夢</v>
      </c>
      <c r="C24" s="5" t="str">
        <f>IFERROR(__xludf.DUMMYFUNCTION("""COMPUTED_VALUE"""),"さいとうゆめ")</f>
        <v>さいとうゆめ</v>
      </c>
      <c r="D24" s="5">
        <f>IFERROR(__xludf.DUMMYFUNCTION("""COMPUTED_VALUE"""),1.0)</f>
        <v>1</v>
      </c>
      <c r="E24" s="5" t="str">
        <f>IFERROR(__xludf.DUMMYFUNCTION("""COMPUTED_VALUE"""),"女")</f>
        <v>女</v>
      </c>
      <c r="F24" s="5" t="str">
        <f>IFERROR(__xludf.DUMMYFUNCTION("""COMPUTED_VALUE"""),"WUF")</f>
        <v>WUF</v>
      </c>
      <c r="G24" s="5" t="str">
        <f>IFERROR(__xludf.DUMMYFUNCTION("""COMPUTED_VALUE"""),"○出場")</f>
        <v>○出場</v>
      </c>
      <c r="H24" s="5">
        <f>IFERROR(__xludf.DUMMYFUNCTION("""COMPUTED_VALUE"""),530297.0)</f>
        <v>530297</v>
      </c>
      <c r="I24" s="5" t="str">
        <f>IFERROR(__xludf.DUMMYFUNCTION("""COMPUTED_VALUE"""),"○参加する")</f>
        <v>○参加する</v>
      </c>
      <c r="J24" s="5"/>
      <c r="K24" s="12">
        <f t="shared" si="2"/>
        <v>1</v>
      </c>
      <c r="M24" s="2"/>
      <c r="N24" s="4"/>
      <c r="O24" s="2"/>
      <c r="P24" s="3"/>
      <c r="Q24" s="5"/>
      <c r="R24" s="2"/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>
        <f>IFERROR(__xludf.DUMMYFUNCTION("""COMPUTED_VALUE"""),354512.0)</f>
        <v>354512</v>
      </c>
      <c r="B25" s="5" t="str">
        <f>IFERROR(__xludf.DUMMYFUNCTION("""COMPUTED_VALUE"""),"本間圭桃")</f>
        <v>本間圭桃</v>
      </c>
      <c r="C25" s="5" t="str">
        <f>IFERROR(__xludf.DUMMYFUNCTION("""COMPUTED_VALUE"""),"ほんまけいと")</f>
        <v>ほんまけいと</v>
      </c>
      <c r="D25" s="5">
        <f>IFERROR(__xludf.DUMMYFUNCTION("""COMPUTED_VALUE"""),1.0)</f>
        <v>1</v>
      </c>
      <c r="E25" s="5" t="str">
        <f>IFERROR(__xludf.DUMMYFUNCTION("""COMPUTED_VALUE"""),"女")</f>
        <v>女</v>
      </c>
      <c r="F25" s="5" t="str">
        <f>IFERROR(__xludf.DUMMYFUNCTION("""COMPUTED_VALUE"""),"×欠場")</f>
        <v>×欠場</v>
      </c>
      <c r="G25" s="5" t="str">
        <f>IFERROR(__xludf.DUMMYFUNCTION("""COMPUTED_VALUE"""),"×欠場")</f>
        <v>×欠場</v>
      </c>
      <c r="H25" s="5"/>
      <c r="I25" s="5" t="str">
        <f>IFERROR(__xludf.DUMMYFUNCTION("""COMPUTED_VALUE"""),"×参加しない")</f>
        <v>×参加しない</v>
      </c>
      <c r="J25" s="5"/>
      <c r="K25" s="12">
        <f t="shared" si="2"/>
        <v>0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>
        <f>IFERROR(__xludf.DUMMYFUNCTION("""COMPUTED_VALUE"""),354513.0)</f>
        <v>354513</v>
      </c>
      <c r="B26" s="5" t="str">
        <f>IFERROR(__xludf.DUMMYFUNCTION("""COMPUTED_VALUE"""),"沈恩知")</f>
        <v>沈恩知</v>
      </c>
      <c r="C26" s="5" t="str">
        <f>IFERROR(__xludf.DUMMYFUNCTION("""COMPUTED_VALUE"""),"しむうんじ")</f>
        <v>しむうんじ</v>
      </c>
      <c r="D26" s="5">
        <f>IFERROR(__xludf.DUMMYFUNCTION("""COMPUTED_VALUE"""),1.0)</f>
        <v>1</v>
      </c>
      <c r="E26" s="5" t="str">
        <f>IFERROR(__xludf.DUMMYFUNCTION("""COMPUTED_VALUE"""),"女")</f>
        <v>女</v>
      </c>
      <c r="F26" s="5" t="str">
        <f>IFERROR(__xludf.DUMMYFUNCTION("""COMPUTED_VALUE"""),"×欠場")</f>
        <v>×欠場</v>
      </c>
      <c r="G26" s="5" t="str">
        <f>IFERROR(__xludf.DUMMYFUNCTION("""COMPUTED_VALUE"""),"×欠場")</f>
        <v>×欠場</v>
      </c>
      <c r="H26" s="5"/>
      <c r="I26" s="5" t="str">
        <f>IFERROR(__xludf.DUMMYFUNCTION("""COMPUTED_VALUE"""),"×参加しない")</f>
        <v>×参加しない</v>
      </c>
      <c r="J26" s="5"/>
      <c r="K26" s="12">
        <f t="shared" si="2"/>
        <v>0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>
        <f>IFERROR(__xludf.DUMMYFUNCTION("""COMPUTED_VALUE"""),354514.0)</f>
        <v>354514</v>
      </c>
      <c r="B27" s="5" t="str">
        <f>IFERROR(__xludf.DUMMYFUNCTION("""COMPUTED_VALUE"""),"本窪田葵生")</f>
        <v>本窪田葵生</v>
      </c>
      <c r="C27" s="5" t="str">
        <f>IFERROR(__xludf.DUMMYFUNCTION("""COMPUTED_VALUE"""),"もとくぼたあおい")</f>
        <v>もとくぼたあおい</v>
      </c>
      <c r="D27" s="5">
        <f>IFERROR(__xludf.DUMMYFUNCTION("""COMPUTED_VALUE"""),1.0)</f>
        <v>1</v>
      </c>
      <c r="E27" s="5" t="str">
        <f>IFERROR(__xludf.DUMMYFUNCTION("""COMPUTED_VALUE"""),"女")</f>
        <v>女</v>
      </c>
      <c r="F27" s="5" t="str">
        <f>IFERROR(__xludf.DUMMYFUNCTION("""COMPUTED_VALUE"""),"×欠場")</f>
        <v>×欠場</v>
      </c>
      <c r="G27" s="5" t="str">
        <f>IFERROR(__xludf.DUMMYFUNCTION("""COMPUTED_VALUE"""),"×欠場")</f>
        <v>×欠場</v>
      </c>
      <c r="H27" s="5"/>
      <c r="I27" s="5" t="str">
        <f>IFERROR(__xludf.DUMMYFUNCTION("""COMPUTED_VALUE"""),"×参加しない")</f>
        <v>×参加しない</v>
      </c>
      <c r="J27" s="5"/>
      <c r="K27" s="12">
        <f t="shared" si="2"/>
        <v>0</v>
      </c>
    </row>
    <row r="28" ht="19.5" customHeight="1">
      <c r="A28" s="5">
        <f>IFERROR(__xludf.DUMMYFUNCTION("""COMPUTED_VALUE"""),254501.0)</f>
        <v>254501</v>
      </c>
      <c r="B28" s="5" t="str">
        <f>IFERROR(__xludf.DUMMYFUNCTION("""COMPUTED_VALUE"""),"藤若柚寿")</f>
        <v>藤若柚寿</v>
      </c>
      <c r="C28" s="5" t="str">
        <f>IFERROR(__xludf.DUMMYFUNCTION("""COMPUTED_VALUE"""),"ふじわかゆず")</f>
        <v>ふじわかゆず</v>
      </c>
      <c r="D28" s="5">
        <f>IFERROR(__xludf.DUMMYFUNCTION("""COMPUTED_VALUE"""),2.0)</f>
        <v>2</v>
      </c>
      <c r="E28" s="5" t="str">
        <f>IFERROR(__xludf.DUMMYFUNCTION("""COMPUTED_VALUE"""),"女")</f>
        <v>女</v>
      </c>
      <c r="F28" s="5" t="str">
        <f>IFERROR(__xludf.DUMMYFUNCTION("""COMPUTED_VALUE"""),"×欠場")</f>
        <v>×欠場</v>
      </c>
      <c r="G28" s="5" t="str">
        <f>IFERROR(__xludf.DUMMYFUNCTION("""COMPUTED_VALUE"""),"×欠場")</f>
        <v>×欠場</v>
      </c>
      <c r="H28" s="5"/>
      <c r="I28" s="5" t="str">
        <f>IFERROR(__xludf.DUMMYFUNCTION("""COMPUTED_VALUE"""),"×参加しない")</f>
        <v>×参加しない</v>
      </c>
      <c r="J28" s="5"/>
      <c r="K28" s="12">
        <f t="shared" si="2"/>
        <v>0</v>
      </c>
    </row>
    <row r="29" ht="19.5" customHeight="1">
      <c r="A29" s="5">
        <f>IFERROR(__xludf.DUMMYFUNCTION("""COMPUTED_VALUE"""),254502.0)</f>
        <v>254502</v>
      </c>
      <c r="B29" s="5" t="str">
        <f>IFERROR(__xludf.DUMMYFUNCTION("""COMPUTED_VALUE"""),"水野こむぎ")</f>
        <v>水野こむぎ</v>
      </c>
      <c r="C29" s="5" t="str">
        <f>IFERROR(__xludf.DUMMYFUNCTION("""COMPUTED_VALUE"""),"みずのこむぎ")</f>
        <v>みずのこむぎ</v>
      </c>
      <c r="D29" s="5">
        <f>IFERROR(__xludf.DUMMYFUNCTION("""COMPUTED_VALUE"""),2.0)</f>
        <v>2</v>
      </c>
      <c r="E29" s="5" t="str">
        <f>IFERROR(__xludf.DUMMYFUNCTION("""COMPUTED_VALUE"""),"女")</f>
        <v>女</v>
      </c>
      <c r="F29" s="5" t="str">
        <f>IFERROR(__xludf.DUMMYFUNCTION("""COMPUTED_VALUE"""),"×欠場")</f>
        <v>×欠場</v>
      </c>
      <c r="G29" s="5" t="str">
        <f>IFERROR(__xludf.DUMMYFUNCTION("""COMPUTED_VALUE"""),"×欠場")</f>
        <v>×欠場</v>
      </c>
      <c r="H29" s="5"/>
      <c r="I29" s="5" t="str">
        <f>IFERROR(__xludf.DUMMYFUNCTION("""COMPUTED_VALUE"""),"×参加しない")</f>
        <v>×参加しない</v>
      </c>
      <c r="J29" s="5"/>
      <c r="K29" s="12">
        <f t="shared" si="2"/>
        <v>0</v>
      </c>
    </row>
    <row r="30" ht="19.5" customHeight="1">
      <c r="A30" s="5">
        <f>IFERROR(__xludf.DUMMYFUNCTION("""COMPUTED_VALUE"""),254503.0)</f>
        <v>254503</v>
      </c>
      <c r="B30" s="5" t="str">
        <f>IFERROR(__xludf.DUMMYFUNCTION("""COMPUTED_VALUE"""),"一ノ瀬百萌")</f>
        <v>一ノ瀬百萌</v>
      </c>
      <c r="C30" s="5" t="str">
        <f>IFERROR(__xludf.DUMMYFUNCTION("""COMPUTED_VALUE"""),"いちのせもも")</f>
        <v>いちのせもも</v>
      </c>
      <c r="D30" s="5">
        <f>IFERROR(__xludf.DUMMYFUNCTION("""COMPUTED_VALUE"""),2.0)</f>
        <v>2</v>
      </c>
      <c r="E30" s="5" t="str">
        <f>IFERROR(__xludf.DUMMYFUNCTION("""COMPUTED_VALUE"""),"女")</f>
        <v>女</v>
      </c>
      <c r="F30" s="5" t="str">
        <f>IFERROR(__xludf.DUMMYFUNCTION("""COMPUTED_VALUE"""),"×欠場")</f>
        <v>×欠場</v>
      </c>
      <c r="G30" s="5" t="str">
        <f>IFERROR(__xludf.DUMMYFUNCTION("""COMPUTED_VALUE"""),"×欠場")</f>
        <v>×欠場</v>
      </c>
      <c r="H30" s="5"/>
      <c r="I30" s="5" t="str">
        <f>IFERROR(__xludf.DUMMYFUNCTION("""COMPUTED_VALUE"""),"×参加しない")</f>
        <v>×参加しない</v>
      </c>
      <c r="J30" s="5"/>
      <c r="K30" s="12">
        <f t="shared" si="2"/>
        <v>0</v>
      </c>
    </row>
    <row r="31" ht="19.5" customHeight="1">
      <c r="A31" s="5">
        <f>IFERROR(__xludf.DUMMYFUNCTION("""COMPUTED_VALUE"""),254505.0)</f>
        <v>254505</v>
      </c>
      <c r="B31" s="5" t="str">
        <f>IFERROR(__xludf.DUMMYFUNCTION("""COMPUTED_VALUE"""),"安藤百香")</f>
        <v>安藤百香</v>
      </c>
      <c r="C31" s="5" t="str">
        <f>IFERROR(__xludf.DUMMYFUNCTION("""COMPUTED_VALUE"""),"あんどうももか")</f>
        <v>あんどうももか</v>
      </c>
      <c r="D31" s="5">
        <f>IFERROR(__xludf.DUMMYFUNCTION("""COMPUTED_VALUE"""),2.0)</f>
        <v>2</v>
      </c>
      <c r="E31" s="5" t="str">
        <f>IFERROR(__xludf.DUMMYFUNCTION("""COMPUTED_VALUE"""),"女")</f>
        <v>女</v>
      </c>
      <c r="F31" s="5" t="str">
        <f>IFERROR(__xludf.DUMMYFUNCTION("""COMPUTED_VALUE"""),"×欠場")</f>
        <v>×欠場</v>
      </c>
      <c r="G31" s="5" t="str">
        <f>IFERROR(__xludf.DUMMYFUNCTION("""COMPUTED_VALUE"""),"×欠場")</f>
        <v>×欠場</v>
      </c>
      <c r="H31" s="5"/>
      <c r="I31" s="5" t="str">
        <f>IFERROR(__xludf.DUMMYFUNCTION("""COMPUTED_VALUE"""),"×参加しない")</f>
        <v>×参加しない</v>
      </c>
      <c r="J31" s="5"/>
      <c r="K31" s="12">
        <f t="shared" si="2"/>
        <v>0</v>
      </c>
    </row>
    <row r="32" ht="19.5" customHeight="1">
      <c r="A32" s="5">
        <f>IFERROR(__xludf.DUMMYFUNCTION("""COMPUTED_VALUE"""),254507.0)</f>
        <v>254507</v>
      </c>
      <c r="B32" s="5" t="str">
        <f>IFERROR(__xludf.DUMMYFUNCTION("""COMPUTED_VALUE"""),"前田樹香")</f>
        <v>前田樹香</v>
      </c>
      <c r="C32" s="5" t="str">
        <f>IFERROR(__xludf.DUMMYFUNCTION("""COMPUTED_VALUE"""),"まえだこのか")</f>
        <v>まえだこのか</v>
      </c>
      <c r="D32" s="5">
        <f>IFERROR(__xludf.DUMMYFUNCTION("""COMPUTED_VALUE"""),2.0)</f>
        <v>2</v>
      </c>
      <c r="E32" s="5" t="str">
        <f>IFERROR(__xludf.DUMMYFUNCTION("""COMPUTED_VALUE"""),"女")</f>
        <v>女</v>
      </c>
      <c r="F32" s="5" t="str">
        <f>IFERROR(__xludf.DUMMYFUNCTION("""COMPUTED_VALUE"""),"×欠場")</f>
        <v>×欠場</v>
      </c>
      <c r="G32" s="5" t="str">
        <f>IFERROR(__xludf.DUMMYFUNCTION("""COMPUTED_VALUE"""),"×欠場")</f>
        <v>×欠場</v>
      </c>
      <c r="H32" s="5"/>
      <c r="I32" s="5" t="str">
        <f>IFERROR(__xludf.DUMMYFUNCTION("""COMPUTED_VALUE"""),"×参加しない")</f>
        <v>×参加しない</v>
      </c>
      <c r="J32" s="5"/>
      <c r="K32" s="12">
        <f t="shared" si="2"/>
        <v>0</v>
      </c>
    </row>
    <row r="33" ht="19.5" customHeight="1">
      <c r="A33" s="5">
        <f>IFERROR(__xludf.DUMMYFUNCTION("""COMPUTED_VALUE"""),254508.0)</f>
        <v>254508</v>
      </c>
      <c r="B33" s="5" t="str">
        <f>IFERROR(__xludf.DUMMYFUNCTION("""COMPUTED_VALUE"""),"宮井沙絵")</f>
        <v>宮井沙絵</v>
      </c>
      <c r="C33" s="5" t="str">
        <f>IFERROR(__xludf.DUMMYFUNCTION("""COMPUTED_VALUE"""),"みやいさえ")</f>
        <v>みやいさえ</v>
      </c>
      <c r="D33" s="5">
        <f>IFERROR(__xludf.DUMMYFUNCTION("""COMPUTED_VALUE"""),2.0)</f>
        <v>2</v>
      </c>
      <c r="E33" s="5" t="str">
        <f>IFERROR(__xludf.DUMMYFUNCTION("""COMPUTED_VALUE"""),"女")</f>
        <v>女</v>
      </c>
      <c r="F33" s="5" t="str">
        <f>IFERROR(__xludf.DUMMYFUNCTION("""COMPUTED_VALUE"""),"×欠場")</f>
        <v>×欠場</v>
      </c>
      <c r="G33" s="5" t="str">
        <f>IFERROR(__xludf.DUMMYFUNCTION("""COMPUTED_VALUE"""),"×欠場")</f>
        <v>×欠場</v>
      </c>
      <c r="H33" s="5"/>
      <c r="I33" s="5" t="str">
        <f>IFERROR(__xludf.DUMMYFUNCTION("""COMPUTED_VALUE"""),"×参加しない")</f>
        <v>×参加しない</v>
      </c>
      <c r="J33" s="5"/>
      <c r="K33" s="12">
        <f t="shared" si="2"/>
        <v>0</v>
      </c>
    </row>
    <row r="34" ht="19.5" customHeight="1">
      <c r="A34" s="5">
        <f>IFERROR(__xludf.DUMMYFUNCTION("""COMPUTED_VALUE"""),254509.0)</f>
        <v>254509</v>
      </c>
      <c r="B34" s="5" t="str">
        <f>IFERROR(__xludf.DUMMYFUNCTION("""COMPUTED_VALUE"""),"松本実夏")</f>
        <v>松本実夏</v>
      </c>
      <c r="C34" s="5" t="str">
        <f>IFERROR(__xludf.DUMMYFUNCTION("""COMPUTED_VALUE"""),"まつもとみなつ")</f>
        <v>まつもとみなつ</v>
      </c>
      <c r="D34" s="5">
        <f>IFERROR(__xludf.DUMMYFUNCTION("""COMPUTED_VALUE"""),2.0)</f>
        <v>2</v>
      </c>
      <c r="E34" s="5" t="str">
        <f>IFERROR(__xludf.DUMMYFUNCTION("""COMPUTED_VALUE"""),"女")</f>
        <v>女</v>
      </c>
      <c r="F34" s="5" t="str">
        <f>IFERROR(__xludf.DUMMYFUNCTION("""COMPUTED_VALUE"""),"×欠場")</f>
        <v>×欠場</v>
      </c>
      <c r="G34" s="5" t="str">
        <f>IFERROR(__xludf.DUMMYFUNCTION("""COMPUTED_VALUE"""),"×欠場")</f>
        <v>×欠場</v>
      </c>
      <c r="H34" s="5"/>
      <c r="I34" s="5" t="str">
        <f>IFERROR(__xludf.DUMMYFUNCTION("""COMPUTED_VALUE"""),"×参加しない")</f>
        <v>×参加しない</v>
      </c>
      <c r="J34" s="5"/>
      <c r="K34" s="12">
        <f t="shared" si="2"/>
        <v>0</v>
      </c>
    </row>
    <row r="35" ht="19.5" customHeight="1">
      <c r="A35" s="5">
        <f>IFERROR(__xludf.DUMMYFUNCTION("""COMPUTED_VALUE"""),254513.0)</f>
        <v>254513</v>
      </c>
      <c r="B35" s="5" t="str">
        <f>IFERROR(__xludf.DUMMYFUNCTION("""COMPUTED_VALUE"""),"三浦七実")</f>
        <v>三浦七実</v>
      </c>
      <c r="C35" s="5" t="str">
        <f>IFERROR(__xludf.DUMMYFUNCTION("""COMPUTED_VALUE"""),"みうらななみ")</f>
        <v>みうらななみ</v>
      </c>
      <c r="D35" s="5">
        <f>IFERROR(__xludf.DUMMYFUNCTION("""COMPUTED_VALUE"""),2.0)</f>
        <v>2</v>
      </c>
      <c r="E35" s="5" t="str">
        <f>IFERROR(__xludf.DUMMYFUNCTION("""COMPUTED_VALUE"""),"女")</f>
        <v>女</v>
      </c>
      <c r="F35" s="5" t="str">
        <f>IFERROR(__xludf.DUMMYFUNCTION("""COMPUTED_VALUE"""),"×欠場")</f>
        <v>×欠場</v>
      </c>
      <c r="G35" s="5" t="str">
        <f>IFERROR(__xludf.DUMMYFUNCTION("""COMPUTED_VALUE"""),"×欠場")</f>
        <v>×欠場</v>
      </c>
      <c r="H35" s="5"/>
      <c r="I35" s="5" t="str">
        <f>IFERROR(__xludf.DUMMYFUNCTION("""COMPUTED_VALUE"""),"×参加しない")</f>
        <v>×参加しない</v>
      </c>
      <c r="J35" s="5"/>
      <c r="K35" s="12">
        <f t="shared" si="2"/>
        <v>0</v>
      </c>
    </row>
    <row r="36" ht="19.5" customHeight="1">
      <c r="A36" s="5">
        <f>IFERROR(__xludf.DUMMYFUNCTION("""COMPUTED_VALUE"""),254514.0)</f>
        <v>254514</v>
      </c>
      <c r="B36" s="5" t="str">
        <f>IFERROR(__xludf.DUMMYFUNCTION("""COMPUTED_VALUE"""),"西野楓香")</f>
        <v>西野楓香</v>
      </c>
      <c r="C36" s="5" t="str">
        <f>IFERROR(__xludf.DUMMYFUNCTION("""COMPUTED_VALUE"""),"にしのふうか")</f>
        <v>にしのふうか</v>
      </c>
      <c r="D36" s="5">
        <f>IFERROR(__xludf.DUMMYFUNCTION("""COMPUTED_VALUE"""),2.0)</f>
        <v>2</v>
      </c>
      <c r="E36" s="5" t="str">
        <f>IFERROR(__xludf.DUMMYFUNCTION("""COMPUTED_VALUE"""),"女")</f>
        <v>女</v>
      </c>
      <c r="F36" s="5" t="str">
        <f>IFERROR(__xludf.DUMMYFUNCTION("""COMPUTED_VALUE"""),"WUA")</f>
        <v>WUA</v>
      </c>
      <c r="G36" s="5" t="str">
        <f>IFERROR(__xludf.DUMMYFUNCTION("""COMPUTED_VALUE"""),"○出場")</f>
        <v>○出場</v>
      </c>
      <c r="H36" s="5"/>
      <c r="I36" s="5" t="str">
        <f>IFERROR(__xludf.DUMMYFUNCTION("""COMPUTED_VALUE"""),"×参加しない")</f>
        <v>×参加しない</v>
      </c>
      <c r="J36" s="5"/>
      <c r="K36" s="12">
        <f t="shared" si="2"/>
        <v>1</v>
      </c>
    </row>
    <row r="37" ht="19.5" customHeight="1">
      <c r="A37" s="5">
        <f>IFERROR(__xludf.DUMMYFUNCTION("""COMPUTED_VALUE"""),254515.0)</f>
        <v>254515</v>
      </c>
      <c r="B37" s="5" t="str">
        <f>IFERROR(__xludf.DUMMYFUNCTION("""COMPUTED_VALUE"""),"江藤榛花")</f>
        <v>江藤榛花</v>
      </c>
      <c r="C37" s="5" t="str">
        <f>IFERROR(__xludf.DUMMYFUNCTION("""COMPUTED_VALUE"""),"えとうはるか")</f>
        <v>えとうはるか</v>
      </c>
      <c r="D37" s="5">
        <f>IFERROR(__xludf.DUMMYFUNCTION("""COMPUTED_VALUE"""),2.0)</f>
        <v>2</v>
      </c>
      <c r="E37" s="5" t="str">
        <f>IFERROR(__xludf.DUMMYFUNCTION("""COMPUTED_VALUE"""),"女")</f>
        <v>女</v>
      </c>
      <c r="F37" s="5" t="str">
        <f>IFERROR(__xludf.DUMMYFUNCTION("""COMPUTED_VALUE"""),"×欠場")</f>
        <v>×欠場</v>
      </c>
      <c r="G37" s="5" t="str">
        <f>IFERROR(__xludf.DUMMYFUNCTION("""COMPUTED_VALUE"""),"×欠場")</f>
        <v>×欠場</v>
      </c>
      <c r="H37" s="5"/>
      <c r="I37" s="5" t="str">
        <f>IFERROR(__xludf.DUMMYFUNCTION("""COMPUTED_VALUE"""),"×参加しない")</f>
        <v>×参加しない</v>
      </c>
      <c r="J37" s="5"/>
      <c r="K37" s="12">
        <f t="shared" si="2"/>
        <v>0</v>
      </c>
    </row>
    <row r="38" ht="19.5" customHeight="1">
      <c r="A38" s="5">
        <f>IFERROR(__xludf.DUMMYFUNCTION("""COMPUTED_VALUE"""),254516.0)</f>
        <v>254516</v>
      </c>
      <c r="B38" s="5" t="str">
        <f>IFERROR(__xludf.DUMMYFUNCTION("""COMPUTED_VALUE"""),"冨林恵")</f>
        <v>冨林恵</v>
      </c>
      <c r="C38" s="5" t="str">
        <f>IFERROR(__xludf.DUMMYFUNCTION("""COMPUTED_VALUE"""),"とみばやしけい")</f>
        <v>とみばやしけい</v>
      </c>
      <c r="D38" s="5">
        <f>IFERROR(__xludf.DUMMYFUNCTION("""COMPUTED_VALUE"""),2.0)</f>
        <v>2</v>
      </c>
      <c r="E38" s="5" t="str">
        <f>IFERROR(__xludf.DUMMYFUNCTION("""COMPUTED_VALUE"""),"女")</f>
        <v>女</v>
      </c>
      <c r="F38" s="5" t="str">
        <f>IFERROR(__xludf.DUMMYFUNCTION("""COMPUTED_VALUE"""),"×欠場")</f>
        <v>×欠場</v>
      </c>
      <c r="G38" s="5" t="str">
        <f>IFERROR(__xludf.DUMMYFUNCTION("""COMPUTED_VALUE"""),"×欠場")</f>
        <v>×欠場</v>
      </c>
      <c r="H38" s="5"/>
      <c r="I38" s="5" t="str">
        <f>IFERROR(__xludf.DUMMYFUNCTION("""COMPUTED_VALUE"""),"×参加しない")</f>
        <v>×参加しない</v>
      </c>
      <c r="J38" s="5"/>
      <c r="K38" s="12">
        <f t="shared" si="2"/>
        <v>0</v>
      </c>
    </row>
    <row r="39" ht="19.5" customHeight="1">
      <c r="A39" s="5">
        <f>IFERROR(__xludf.DUMMYFUNCTION("""COMPUTED_VALUE"""),254517.0)</f>
        <v>254517</v>
      </c>
      <c r="B39" s="5" t="str">
        <f>IFERROR(__xludf.DUMMYFUNCTION("""COMPUTED_VALUE"""),"藤田真央")</f>
        <v>藤田真央</v>
      </c>
      <c r="C39" s="5" t="str">
        <f>IFERROR(__xludf.DUMMYFUNCTION("""COMPUTED_VALUE"""),"ふじたまお")</f>
        <v>ふじたまお</v>
      </c>
      <c r="D39" s="5">
        <f>IFERROR(__xludf.DUMMYFUNCTION("""COMPUTED_VALUE"""),2.0)</f>
        <v>2</v>
      </c>
      <c r="E39" s="5" t="str">
        <f>IFERROR(__xludf.DUMMYFUNCTION("""COMPUTED_VALUE"""),"女")</f>
        <v>女</v>
      </c>
      <c r="F39" s="5" t="str">
        <f>IFERROR(__xludf.DUMMYFUNCTION("""COMPUTED_VALUE"""),"×欠場")</f>
        <v>×欠場</v>
      </c>
      <c r="G39" s="5" t="str">
        <f>IFERROR(__xludf.DUMMYFUNCTION("""COMPUTED_VALUE"""),"×欠場")</f>
        <v>×欠場</v>
      </c>
      <c r="H39" s="5"/>
      <c r="I39" s="5" t="str">
        <f>IFERROR(__xludf.DUMMYFUNCTION("""COMPUTED_VALUE"""),"×参加しない")</f>
        <v>×参加しない</v>
      </c>
      <c r="J39" s="5"/>
      <c r="K39" s="12">
        <f t="shared" si="2"/>
        <v>0</v>
      </c>
    </row>
    <row r="40" ht="19.5" customHeight="1">
      <c r="A40" s="5">
        <f>IFERROR(__xludf.DUMMYFUNCTION("""COMPUTED_VALUE"""),254518.0)</f>
        <v>254518</v>
      </c>
      <c r="B40" s="5" t="str">
        <f>IFERROR(__xludf.DUMMYFUNCTION("""COMPUTED_VALUE"""),"水内夏希")</f>
        <v>水内夏希</v>
      </c>
      <c r="C40" s="5" t="str">
        <f>IFERROR(__xludf.DUMMYFUNCTION("""COMPUTED_VALUE"""),"みずうちなつき")</f>
        <v>みずうちなつき</v>
      </c>
      <c r="D40" s="5">
        <f>IFERROR(__xludf.DUMMYFUNCTION("""COMPUTED_VALUE"""),2.0)</f>
        <v>2</v>
      </c>
      <c r="E40" s="5" t="str">
        <f>IFERROR(__xludf.DUMMYFUNCTION("""COMPUTED_VALUE"""),"女")</f>
        <v>女</v>
      </c>
      <c r="F40" s="5" t="str">
        <f>IFERROR(__xludf.DUMMYFUNCTION("""COMPUTED_VALUE"""),"×欠場")</f>
        <v>×欠場</v>
      </c>
      <c r="G40" s="5" t="str">
        <f>IFERROR(__xludf.DUMMYFUNCTION("""COMPUTED_VALUE"""),"×欠場")</f>
        <v>×欠場</v>
      </c>
      <c r="H40" s="5"/>
      <c r="I40" s="5" t="str">
        <f>IFERROR(__xludf.DUMMYFUNCTION("""COMPUTED_VALUE"""),"×参加しない")</f>
        <v>×参加しない</v>
      </c>
      <c r="J40" s="5"/>
      <c r="K40" s="12">
        <f t="shared" si="2"/>
        <v>0</v>
      </c>
    </row>
    <row r="41" ht="19.5" customHeight="1">
      <c r="A41" s="5">
        <f>IFERROR(__xludf.DUMMYFUNCTION("""COMPUTED_VALUE"""),254519.0)</f>
        <v>254519</v>
      </c>
      <c r="B41" s="5" t="str">
        <f>IFERROR(__xludf.DUMMYFUNCTION("""COMPUTED_VALUE"""),"小山真鈴")</f>
        <v>小山真鈴</v>
      </c>
      <c r="C41" s="5" t="str">
        <f>IFERROR(__xludf.DUMMYFUNCTION("""COMPUTED_VALUE"""),"こやまみれい")</f>
        <v>こやまみれい</v>
      </c>
      <c r="D41" s="5">
        <f>IFERROR(__xludf.DUMMYFUNCTION("""COMPUTED_VALUE"""),2.0)</f>
        <v>2</v>
      </c>
      <c r="E41" s="5" t="str">
        <f>IFERROR(__xludf.DUMMYFUNCTION("""COMPUTED_VALUE"""),"女")</f>
        <v>女</v>
      </c>
      <c r="F41" s="5" t="str">
        <f>IFERROR(__xludf.DUMMYFUNCTION("""COMPUTED_VALUE"""),"×欠場")</f>
        <v>×欠場</v>
      </c>
      <c r="G41" s="5" t="str">
        <f>IFERROR(__xludf.DUMMYFUNCTION("""COMPUTED_VALUE"""),"×欠場")</f>
        <v>×欠場</v>
      </c>
      <c r="H41" s="5"/>
      <c r="I41" s="5" t="str">
        <f>IFERROR(__xludf.DUMMYFUNCTION("""COMPUTED_VALUE"""),"×参加しない")</f>
        <v>×参加しない</v>
      </c>
      <c r="J41" s="5"/>
      <c r="K41" s="12">
        <f t="shared" si="2"/>
        <v>0</v>
      </c>
    </row>
    <row r="42" ht="19.5" customHeight="1">
      <c r="A42" s="5">
        <f>IFERROR(__xludf.DUMMYFUNCTION("""COMPUTED_VALUE"""),254520.0)</f>
        <v>254520</v>
      </c>
      <c r="B42" s="5" t="str">
        <f>IFERROR(__xludf.DUMMYFUNCTION("""COMPUTED_VALUE"""),"川瀬智尋")</f>
        <v>川瀬智尋</v>
      </c>
      <c r="C42" s="5" t="str">
        <f>IFERROR(__xludf.DUMMYFUNCTION("""COMPUTED_VALUE"""),"かわせちひろ")</f>
        <v>かわせちひろ</v>
      </c>
      <c r="D42" s="5">
        <f>IFERROR(__xludf.DUMMYFUNCTION("""COMPUTED_VALUE"""),2.0)</f>
        <v>2</v>
      </c>
      <c r="E42" s="5" t="str">
        <f>IFERROR(__xludf.DUMMYFUNCTION("""COMPUTED_VALUE"""),"女")</f>
        <v>女</v>
      </c>
      <c r="F42" s="5" t="str">
        <f>IFERROR(__xludf.DUMMYFUNCTION("""COMPUTED_VALUE"""),"WUA")</f>
        <v>WUA</v>
      </c>
      <c r="G42" s="5" t="str">
        <f>IFERROR(__xludf.DUMMYFUNCTION("""COMPUTED_VALUE"""),"○出場")</f>
        <v>○出場</v>
      </c>
      <c r="H42" s="5">
        <f>IFERROR(__xludf.DUMMYFUNCTION("""COMPUTED_VALUE"""),523122.0)</f>
        <v>523122</v>
      </c>
      <c r="I42" s="5" t="str">
        <f>IFERROR(__xludf.DUMMYFUNCTION("""COMPUTED_VALUE"""),"○参加する")</f>
        <v>○参加する</v>
      </c>
      <c r="J42" s="5"/>
      <c r="K42" s="12">
        <f t="shared" si="2"/>
        <v>1</v>
      </c>
    </row>
    <row r="43" ht="19.5" customHeight="1">
      <c r="A43" s="5">
        <f>IFERROR(__xludf.DUMMYFUNCTION("""COMPUTED_VALUE"""),154501.0)</f>
        <v>154501</v>
      </c>
      <c r="B43" s="5" t="str">
        <f>IFERROR(__xludf.DUMMYFUNCTION("""COMPUTED_VALUE"""),"伊藤瑞季")</f>
        <v>伊藤瑞季</v>
      </c>
      <c r="C43" s="5" t="str">
        <f>IFERROR(__xludf.DUMMYFUNCTION("""COMPUTED_VALUE"""),"いとうみずき")</f>
        <v>いとうみずき</v>
      </c>
      <c r="D43" s="5">
        <f>IFERROR(__xludf.DUMMYFUNCTION("""COMPUTED_VALUE"""),3.0)</f>
        <v>3</v>
      </c>
      <c r="E43" s="5" t="str">
        <f>IFERROR(__xludf.DUMMYFUNCTION("""COMPUTED_VALUE"""),"女")</f>
        <v>女</v>
      </c>
      <c r="F43" s="5" t="str">
        <f>IFERROR(__xludf.DUMMYFUNCTION("""COMPUTED_VALUE"""),"×欠場")</f>
        <v>×欠場</v>
      </c>
      <c r="G43" s="5" t="str">
        <f>IFERROR(__xludf.DUMMYFUNCTION("""COMPUTED_VALUE"""),"×欠場")</f>
        <v>×欠場</v>
      </c>
      <c r="H43" s="5"/>
      <c r="I43" s="5" t="str">
        <f>IFERROR(__xludf.DUMMYFUNCTION("""COMPUTED_VALUE"""),"×参加しない")</f>
        <v>×参加しない</v>
      </c>
      <c r="J43" s="5"/>
      <c r="K43" s="12">
        <f t="shared" si="2"/>
        <v>0</v>
      </c>
    </row>
    <row r="44" ht="19.5" customHeight="1">
      <c r="A44" s="5">
        <f>IFERROR(__xludf.DUMMYFUNCTION("""COMPUTED_VALUE"""),154503.0)</f>
        <v>154503</v>
      </c>
      <c r="B44" s="5" t="str">
        <f>IFERROR(__xludf.DUMMYFUNCTION("""COMPUTED_VALUE"""),"角美咲希")</f>
        <v>角美咲希</v>
      </c>
      <c r="C44" s="5" t="str">
        <f>IFERROR(__xludf.DUMMYFUNCTION("""COMPUTED_VALUE"""),"かどみさき")</f>
        <v>かどみさき</v>
      </c>
      <c r="D44" s="5">
        <f>IFERROR(__xludf.DUMMYFUNCTION("""COMPUTED_VALUE"""),3.0)</f>
        <v>3</v>
      </c>
      <c r="E44" s="5" t="str">
        <f>IFERROR(__xludf.DUMMYFUNCTION("""COMPUTED_VALUE"""),"女")</f>
        <v>女</v>
      </c>
      <c r="F44" s="5" t="str">
        <f>IFERROR(__xludf.DUMMYFUNCTION("""COMPUTED_VALUE"""),"×欠場")</f>
        <v>×欠場</v>
      </c>
      <c r="G44" s="5" t="str">
        <f>IFERROR(__xludf.DUMMYFUNCTION("""COMPUTED_VALUE"""),"×欠場")</f>
        <v>×欠場</v>
      </c>
      <c r="H44" s="5"/>
      <c r="I44" s="5" t="str">
        <f>IFERROR(__xludf.DUMMYFUNCTION("""COMPUTED_VALUE"""),"×参加しない")</f>
        <v>×参加しない</v>
      </c>
      <c r="J44" s="5"/>
      <c r="K44" s="12">
        <f t="shared" si="2"/>
        <v>0</v>
      </c>
    </row>
    <row r="45" ht="19.5" customHeight="1">
      <c r="A45" s="5">
        <f>IFERROR(__xludf.DUMMYFUNCTION("""COMPUTED_VALUE"""),154504.0)</f>
        <v>154504</v>
      </c>
      <c r="B45" s="5" t="str">
        <f>IFERROR(__xludf.DUMMYFUNCTION("""COMPUTED_VALUE"""),"林牧穂")</f>
        <v>林牧穂</v>
      </c>
      <c r="C45" s="5" t="str">
        <f>IFERROR(__xludf.DUMMYFUNCTION("""COMPUTED_VALUE"""),"はやしまきほ")</f>
        <v>はやしまきほ</v>
      </c>
      <c r="D45" s="5">
        <f>IFERROR(__xludf.DUMMYFUNCTION("""COMPUTED_VALUE"""),3.0)</f>
        <v>3</v>
      </c>
      <c r="E45" s="5" t="str">
        <f>IFERROR(__xludf.DUMMYFUNCTION("""COMPUTED_VALUE"""),"女")</f>
        <v>女</v>
      </c>
      <c r="F45" s="5" t="str">
        <f>IFERROR(__xludf.DUMMYFUNCTION("""COMPUTED_VALUE"""),"×欠場")</f>
        <v>×欠場</v>
      </c>
      <c r="G45" s="5" t="str">
        <f>IFERROR(__xludf.DUMMYFUNCTION("""COMPUTED_VALUE"""),"×欠場")</f>
        <v>×欠場</v>
      </c>
      <c r="H45" s="5"/>
      <c r="I45" s="5" t="str">
        <f>IFERROR(__xludf.DUMMYFUNCTION("""COMPUTED_VALUE"""),"×参加しない")</f>
        <v>×参加しない</v>
      </c>
      <c r="J45" s="5"/>
      <c r="K45" s="12">
        <f t="shared" si="2"/>
        <v>0</v>
      </c>
    </row>
    <row r="46" ht="19.5" customHeight="1">
      <c r="A46" s="5">
        <f>IFERROR(__xludf.DUMMYFUNCTION("""COMPUTED_VALUE"""),154509.0)</f>
        <v>154509</v>
      </c>
      <c r="B46" s="5" t="str">
        <f>IFERROR(__xludf.DUMMYFUNCTION("""COMPUTED_VALUE"""),"穴田小都")</f>
        <v>穴田小都</v>
      </c>
      <c r="C46" s="5" t="str">
        <f>IFERROR(__xludf.DUMMYFUNCTION("""COMPUTED_VALUE"""),"あなだこと")</f>
        <v>あなだこと</v>
      </c>
      <c r="D46" s="5">
        <f>IFERROR(__xludf.DUMMYFUNCTION("""COMPUTED_VALUE"""),3.0)</f>
        <v>3</v>
      </c>
      <c r="E46" s="5" t="str">
        <f>IFERROR(__xludf.DUMMYFUNCTION("""COMPUTED_VALUE"""),"女")</f>
        <v>女</v>
      </c>
      <c r="F46" s="5" t="str">
        <f>IFERROR(__xludf.DUMMYFUNCTION("""COMPUTED_VALUE"""),"WUA")</f>
        <v>WUA</v>
      </c>
      <c r="G46" s="5" t="str">
        <f>IFERROR(__xludf.DUMMYFUNCTION("""COMPUTED_VALUE"""),"○出場")</f>
        <v>○出場</v>
      </c>
      <c r="H46" s="5"/>
      <c r="I46" s="5" t="str">
        <f>IFERROR(__xludf.DUMMYFUNCTION("""COMPUTED_VALUE"""),"○参加する")</f>
        <v>○参加する</v>
      </c>
      <c r="J46" s="5"/>
      <c r="K46" s="12">
        <f t="shared" si="2"/>
        <v>1</v>
      </c>
    </row>
    <row r="47" ht="19.5" customHeight="1">
      <c r="A47" s="5">
        <f>IFERROR(__xludf.DUMMYFUNCTION("""COMPUTED_VALUE"""),154510.0)</f>
        <v>154510</v>
      </c>
      <c r="B47" s="5" t="str">
        <f>IFERROR(__xludf.DUMMYFUNCTION("""COMPUTED_VALUE"""),"竹内琴美")</f>
        <v>竹内琴美</v>
      </c>
      <c r="C47" s="5" t="str">
        <f>IFERROR(__xludf.DUMMYFUNCTION("""COMPUTED_VALUE"""),"たけうちことみ")</f>
        <v>たけうちことみ</v>
      </c>
      <c r="D47" s="5">
        <f>IFERROR(__xludf.DUMMYFUNCTION("""COMPUTED_VALUE"""),3.0)</f>
        <v>3</v>
      </c>
      <c r="E47" s="5" t="str">
        <f>IFERROR(__xludf.DUMMYFUNCTION("""COMPUTED_VALUE"""),"女")</f>
        <v>女</v>
      </c>
      <c r="F47" s="5" t="str">
        <f>IFERROR(__xludf.DUMMYFUNCTION("""COMPUTED_VALUE"""),"WUA")</f>
        <v>WUA</v>
      </c>
      <c r="G47" s="5" t="str">
        <f>IFERROR(__xludf.DUMMYFUNCTION("""COMPUTED_VALUE"""),"○出場")</f>
        <v>○出場</v>
      </c>
      <c r="H47" s="5"/>
      <c r="I47" s="5" t="str">
        <f>IFERROR(__xludf.DUMMYFUNCTION("""COMPUTED_VALUE"""),"×参加しない")</f>
        <v>×参加しない</v>
      </c>
      <c r="J47" s="5"/>
      <c r="K47" s="12">
        <f t="shared" si="2"/>
        <v>1</v>
      </c>
    </row>
    <row r="48" ht="19.5" customHeight="1">
      <c r="A48" s="5">
        <f>IFERROR(__xludf.DUMMYFUNCTION("""COMPUTED_VALUE"""),154516.0)</f>
        <v>154516</v>
      </c>
      <c r="B48" s="5" t="str">
        <f>IFERROR(__xludf.DUMMYFUNCTION("""COMPUTED_VALUE"""),"稲田千聖")</f>
        <v>稲田千聖</v>
      </c>
      <c r="C48" s="5" t="str">
        <f>IFERROR(__xludf.DUMMYFUNCTION("""COMPUTED_VALUE"""),"いなだちさと")</f>
        <v>いなだちさと</v>
      </c>
      <c r="D48" s="5">
        <f>IFERROR(__xludf.DUMMYFUNCTION("""COMPUTED_VALUE"""),3.0)</f>
        <v>3</v>
      </c>
      <c r="E48" s="5" t="str">
        <f>IFERROR(__xludf.DUMMYFUNCTION("""COMPUTED_VALUE"""),"女")</f>
        <v>女</v>
      </c>
      <c r="F48" s="5" t="str">
        <f>IFERROR(__xludf.DUMMYFUNCTION("""COMPUTED_VALUE"""),"×欠場")</f>
        <v>×欠場</v>
      </c>
      <c r="G48" s="5" t="str">
        <f>IFERROR(__xludf.DUMMYFUNCTION("""COMPUTED_VALUE"""),"×欠場")</f>
        <v>×欠場</v>
      </c>
      <c r="H48" s="5"/>
      <c r="I48" s="5" t="str">
        <f>IFERROR(__xludf.DUMMYFUNCTION("""COMPUTED_VALUE"""),"×参加しない")</f>
        <v>×参加しない</v>
      </c>
      <c r="J48" s="5"/>
      <c r="K48" s="12">
        <f t="shared" si="2"/>
        <v>0</v>
      </c>
    </row>
    <row r="49" ht="19.5" customHeight="1">
      <c r="A49" s="5">
        <f>IFERROR(__xludf.DUMMYFUNCTION("""COMPUTED_VALUE"""),54501.0)</f>
        <v>54501</v>
      </c>
      <c r="B49" s="5" t="str">
        <f>IFERROR(__xludf.DUMMYFUNCTION("""COMPUTED_VALUE"""),"小早川瑛子")</f>
        <v>小早川瑛子</v>
      </c>
      <c r="C49" s="5" t="str">
        <f>IFERROR(__xludf.DUMMYFUNCTION("""COMPUTED_VALUE"""),"こばやかわあきこ")</f>
        <v>こばやかわあきこ</v>
      </c>
      <c r="D49" s="5">
        <f>IFERROR(__xludf.DUMMYFUNCTION("""COMPUTED_VALUE"""),4.0)</f>
        <v>4</v>
      </c>
      <c r="E49" s="5" t="str">
        <f>IFERROR(__xludf.DUMMYFUNCTION("""COMPUTED_VALUE"""),"女")</f>
        <v>女</v>
      </c>
      <c r="F49" s="5" t="str">
        <f>IFERROR(__xludf.DUMMYFUNCTION("""COMPUTED_VALUE"""),"WUA")</f>
        <v>WUA</v>
      </c>
      <c r="G49" s="5" t="str">
        <f>IFERROR(__xludf.DUMMYFUNCTION("""COMPUTED_VALUE"""),"○出場")</f>
        <v>○出場</v>
      </c>
      <c r="H49" s="5">
        <f>IFERROR(__xludf.DUMMYFUNCTION("""COMPUTED_VALUE"""),513293.0)</f>
        <v>513293</v>
      </c>
      <c r="I49" s="5" t="str">
        <f>IFERROR(__xludf.DUMMYFUNCTION("""COMPUTED_VALUE"""),"×参加しない")</f>
        <v>×参加しない</v>
      </c>
      <c r="J49" s="5"/>
      <c r="K49" s="12">
        <f t="shared" si="2"/>
        <v>1</v>
      </c>
    </row>
    <row r="50" ht="19.5" customHeight="1">
      <c r="A50" s="5">
        <f>IFERROR(__xludf.DUMMYFUNCTION("""COMPUTED_VALUE"""),54502.0)</f>
        <v>54502</v>
      </c>
      <c r="B50" s="5" t="str">
        <f>IFERROR(__xludf.DUMMYFUNCTION("""COMPUTED_VALUE"""),"上田真結子")</f>
        <v>上田真結子</v>
      </c>
      <c r="C50" s="5" t="str">
        <f>IFERROR(__xludf.DUMMYFUNCTION("""COMPUTED_VALUE"""),"うえだまゆこ")</f>
        <v>うえだまゆこ</v>
      </c>
      <c r="D50" s="5">
        <f>IFERROR(__xludf.DUMMYFUNCTION("""COMPUTED_VALUE"""),4.0)</f>
        <v>4</v>
      </c>
      <c r="E50" s="5" t="str">
        <f>IFERROR(__xludf.DUMMYFUNCTION("""COMPUTED_VALUE"""),"女")</f>
        <v>女</v>
      </c>
      <c r="F50" s="5" t="str">
        <f>IFERROR(__xludf.DUMMYFUNCTION("""COMPUTED_VALUE"""),"×欠場")</f>
        <v>×欠場</v>
      </c>
      <c r="G50" s="5" t="str">
        <f>IFERROR(__xludf.DUMMYFUNCTION("""COMPUTED_VALUE"""),"×欠場")</f>
        <v>×欠場</v>
      </c>
      <c r="H50" s="5"/>
      <c r="I50" s="5" t="str">
        <f>IFERROR(__xludf.DUMMYFUNCTION("""COMPUTED_VALUE"""),"×参加しない")</f>
        <v>×参加しない</v>
      </c>
      <c r="J50" s="5"/>
      <c r="K50" s="12">
        <f t="shared" si="2"/>
        <v>0</v>
      </c>
    </row>
    <row r="51" ht="19.5" customHeight="1">
      <c r="A51" s="5">
        <f>IFERROR(__xludf.DUMMYFUNCTION("""COMPUTED_VALUE"""),54506.0)</f>
        <v>54506</v>
      </c>
      <c r="B51" s="5" t="str">
        <f>IFERROR(__xludf.DUMMYFUNCTION("""COMPUTED_VALUE"""),"藤本光")</f>
        <v>藤本光</v>
      </c>
      <c r="C51" s="5" t="str">
        <f>IFERROR(__xludf.DUMMYFUNCTION("""COMPUTED_VALUE"""),"ふじもとひかり")</f>
        <v>ふじもとひかり</v>
      </c>
      <c r="D51" s="5">
        <f>IFERROR(__xludf.DUMMYFUNCTION("""COMPUTED_VALUE"""),4.0)</f>
        <v>4</v>
      </c>
      <c r="E51" s="5" t="str">
        <f>IFERROR(__xludf.DUMMYFUNCTION("""COMPUTED_VALUE"""),"女")</f>
        <v>女</v>
      </c>
      <c r="F51" s="5" t="str">
        <f>IFERROR(__xludf.DUMMYFUNCTION("""COMPUTED_VALUE"""),"WUA")</f>
        <v>WUA</v>
      </c>
      <c r="G51" s="5" t="str">
        <f>IFERROR(__xludf.DUMMYFUNCTION("""COMPUTED_VALUE"""),"○出場")</f>
        <v>○出場</v>
      </c>
      <c r="H51" s="5">
        <f>IFERROR(__xludf.DUMMYFUNCTION("""COMPUTED_VALUE"""),519402.0)</f>
        <v>519402</v>
      </c>
      <c r="I51" s="5" t="str">
        <f>IFERROR(__xludf.DUMMYFUNCTION("""COMPUTED_VALUE"""),"×参加しない")</f>
        <v>×参加しない</v>
      </c>
      <c r="J51" s="5"/>
      <c r="K51" s="12">
        <f t="shared" si="2"/>
        <v>1</v>
      </c>
    </row>
    <row r="52" ht="19.5" customHeight="1">
      <c r="A52" s="5">
        <f>IFERROR(__xludf.DUMMYFUNCTION("""COMPUTED_VALUE"""),54509.0)</f>
        <v>54509</v>
      </c>
      <c r="B52" s="5" t="str">
        <f>IFERROR(__xludf.DUMMYFUNCTION("""COMPUTED_VALUE"""),"吉田瑞穂")</f>
        <v>吉田瑞穂</v>
      </c>
      <c r="C52" s="5" t="str">
        <f>IFERROR(__xludf.DUMMYFUNCTION("""COMPUTED_VALUE"""),"よしだみずほ")</f>
        <v>よしだみずほ</v>
      </c>
      <c r="D52" s="5">
        <f>IFERROR(__xludf.DUMMYFUNCTION("""COMPUTED_VALUE"""),4.0)</f>
        <v>4</v>
      </c>
      <c r="E52" s="5" t="str">
        <f>IFERROR(__xludf.DUMMYFUNCTION("""COMPUTED_VALUE"""),"女")</f>
        <v>女</v>
      </c>
      <c r="F52" s="5" t="str">
        <f>IFERROR(__xludf.DUMMYFUNCTION("""COMPUTED_VALUE"""),"×欠場")</f>
        <v>×欠場</v>
      </c>
      <c r="G52" s="5" t="str">
        <f>IFERROR(__xludf.DUMMYFUNCTION("""COMPUTED_VALUE"""),"×欠場")</f>
        <v>×欠場</v>
      </c>
      <c r="H52" s="5"/>
      <c r="I52" s="5" t="str">
        <f>IFERROR(__xludf.DUMMYFUNCTION("""COMPUTED_VALUE"""),"×参加しない")</f>
        <v>×参加しない</v>
      </c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2123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1</v>
      </c>
      <c r="E4" s="7">
        <f t="shared" ref="E4:E6" si="1">C4*D4</f>
        <v>8500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0</v>
      </c>
      <c r="E5" s="7">
        <f t="shared" si="1"/>
        <v>0</v>
      </c>
    </row>
    <row r="6" ht="19.5" customHeight="1">
      <c r="A6" s="2" t="s">
        <v>9</v>
      </c>
      <c r="B6" s="4"/>
      <c r="C6" s="7">
        <v>32700.0</v>
      </c>
      <c r="D6" s="5">
        <f>D4+D5</f>
        <v>1</v>
      </c>
      <c r="E6" s="7">
        <f t="shared" si="1"/>
        <v>32700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1</v>
      </c>
      <c r="E7" s="7">
        <f>C7*D7/3</f>
        <v>1500</v>
      </c>
      <c r="F7" s="47" t="s">
        <v>2319</v>
      </c>
    </row>
    <row r="8" ht="19.5" customHeight="1">
      <c r="A8" s="2" t="s">
        <v>11</v>
      </c>
      <c r="B8" s="4"/>
      <c r="C8" s="7">
        <v>500.0</v>
      </c>
      <c r="D8" s="5">
        <f>D4-COUNT(H14:H201)</f>
        <v>0</v>
      </c>
      <c r="E8" s="7">
        <f>C8*D8</f>
        <v>0</v>
      </c>
    </row>
    <row r="9" ht="19.5" customHeight="1">
      <c r="A9" s="9"/>
      <c r="B9" s="9"/>
      <c r="C9" s="9"/>
      <c r="D9" s="10" t="s">
        <v>5</v>
      </c>
      <c r="E9" s="11">
        <f>SUM(E4:E8)</f>
        <v>42700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IFERROR(__xludf.DUMMYFUNCTION("FILTER('個人別エントリー'!C2:L1018,'個人別エントリー'!B2:B1018=A1)"),354901.0)</f>
        <v>354901</v>
      </c>
      <c r="B14" s="5" t="str">
        <f>IFERROR(__xludf.DUMMYFUNCTION("""COMPUTED_VALUE"""),"近藤久美")</f>
        <v>近藤久美</v>
      </c>
      <c r="C14" s="5" t="str">
        <f>IFERROR(__xludf.DUMMYFUNCTION("""COMPUTED_VALUE"""),"こんどうくみ")</f>
        <v>こんどうくみ</v>
      </c>
      <c r="D14" s="5">
        <f>IFERROR(__xludf.DUMMYFUNCTION("""COMPUTED_VALUE"""),1.0)</f>
        <v>1</v>
      </c>
      <c r="E14" s="5" t="str">
        <f>IFERROR(__xludf.DUMMYFUNCTION("""COMPUTED_VALUE"""),"女")</f>
        <v>女</v>
      </c>
      <c r="F14" s="5" t="str">
        <f>IFERROR(__xludf.DUMMYFUNCTION("""COMPUTED_VALUE"""),"WUF")</f>
        <v>WUF</v>
      </c>
      <c r="G14" s="5" t="str">
        <f>IFERROR(__xludf.DUMMYFUNCTION("""COMPUTED_VALUE"""),"○出場")</f>
        <v>○出場</v>
      </c>
      <c r="H14" s="5">
        <f>IFERROR(__xludf.DUMMYFUNCTION("""COMPUTED_VALUE"""),525173.0)</f>
        <v>525173</v>
      </c>
      <c r="I14" s="5" t="str">
        <f>IFERROR(__xludf.DUMMYFUNCTION("""COMPUTED_VALUE"""),"○参加する")</f>
        <v>○参加する</v>
      </c>
      <c r="J14" s="5"/>
      <c r="K14" s="12">
        <f t="shared" ref="K14:K201" si="2">IF(AND(OR(F14="×欠場",F14=""),OR(G14="×欠場",G14="")),0,1)</f>
        <v>1</v>
      </c>
      <c r="M14" s="5" t="str">
        <f>IFERROR(__xludf.DUMMYFUNCTION("FILTER('リレー内容'!$C$2:$K$51,'リレー内容'!$B$2:$B$51=A1)"),"×欠場")</f>
        <v>×欠場</v>
      </c>
      <c r="N14" s="5" t="str">
        <f>IFERROR(__xludf.DUMMYFUNCTION("""COMPUTED_VALUE"""),"○出場")</f>
        <v>○出場</v>
      </c>
      <c r="O14" s="5">
        <f>IFERROR(__xludf.DUMMYFUNCTION("""COMPUTED_VALUE"""),0.0)</f>
        <v>0</v>
      </c>
      <c r="P14" s="5">
        <f>IFERROR(__xludf.DUMMYFUNCTION("""COMPUTED_VALUE"""),0.0)</f>
        <v>0</v>
      </c>
      <c r="Q14" s="5">
        <f>IFERROR(__xludf.DUMMYFUNCTION("""COMPUTED_VALUE"""),0.0)</f>
        <v>0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IFERROR(__xludf.DUMMYFUNCTION("""COMPUTED_VALUE"""),354902.0)</f>
        <v>354902</v>
      </c>
      <c r="B15" s="5" t="str">
        <f>IFERROR(__xludf.DUMMYFUNCTION("""COMPUTED_VALUE"""),"山下唯")</f>
        <v>山下唯</v>
      </c>
      <c r="C15" s="5" t="str">
        <f>IFERROR(__xludf.DUMMYFUNCTION("""COMPUTED_VALUE"""),"やましたゆい")</f>
        <v>やましたゆい</v>
      </c>
      <c r="D15" s="5">
        <f>IFERROR(__xludf.DUMMYFUNCTION("""COMPUTED_VALUE"""),2.0)</f>
        <v>2</v>
      </c>
      <c r="E15" s="5" t="str">
        <f>IFERROR(__xludf.DUMMYFUNCTION("""COMPUTED_VALUE"""),"男")</f>
        <v>男</v>
      </c>
      <c r="F15" s="5" t="str">
        <f>IFERROR(__xludf.DUMMYFUNCTION("""COMPUTED_VALUE"""),"×欠場")</f>
        <v>×欠場</v>
      </c>
      <c r="G15" s="5" t="str">
        <f>IFERROR(__xludf.DUMMYFUNCTION("""COMPUTED_VALUE"""),"×欠場")</f>
        <v>×欠場</v>
      </c>
      <c r="H15" s="5"/>
      <c r="I15" s="5" t="str">
        <f>IFERROR(__xludf.DUMMYFUNCTION("""COMPUTED_VALUE"""),"×参加しない")</f>
        <v>×参加しない</v>
      </c>
      <c r="J15" s="5"/>
      <c r="K15" s="12">
        <f t="shared" si="2"/>
        <v>0</v>
      </c>
    </row>
    <row r="16" ht="19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12">
        <f t="shared" si="2"/>
        <v>0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12">
        <f t="shared" si="2"/>
        <v>0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12">
        <f t="shared" si="2"/>
        <v>0</v>
      </c>
      <c r="M18" s="5" t="s">
        <v>26</v>
      </c>
      <c r="N18" s="2"/>
      <c r="O18" s="4"/>
      <c r="P18" s="2" t="s">
        <v>2337</v>
      </c>
      <c r="Q18" s="3"/>
      <c r="R18" s="3"/>
      <c r="S18" s="3"/>
      <c r="T18" s="3"/>
      <c r="U18" s="4"/>
    </row>
    <row r="19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12">
        <f t="shared" si="2"/>
        <v>0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12">
        <f t="shared" si="2"/>
        <v>0</v>
      </c>
    </row>
    <row r="21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12">
        <f t="shared" si="2"/>
        <v>0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2">
        <f t="shared" si="2"/>
        <v>0</v>
      </c>
      <c r="M23" s="2"/>
      <c r="N23" s="4"/>
      <c r="O23" s="2"/>
      <c r="P23" s="3"/>
      <c r="Q23" s="5"/>
      <c r="R23" s="2"/>
      <c r="S23" s="4"/>
      <c r="T23" s="14"/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2">
        <f t="shared" si="2"/>
        <v>0</v>
      </c>
      <c r="M24" s="2"/>
      <c r="N24" s="4"/>
      <c r="O24" s="2"/>
      <c r="P24" s="3"/>
      <c r="Q24" s="5"/>
      <c r="R24" s="2"/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12">
        <f t="shared" si="2"/>
        <v>0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12">
        <f t="shared" si="2"/>
        <v>0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12">
        <f t="shared" si="2"/>
        <v>0</v>
      </c>
    </row>
    <row r="28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12">
        <f t="shared" si="2"/>
        <v>0</v>
      </c>
    </row>
    <row r="29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12">
        <f t="shared" si="2"/>
        <v>0</v>
      </c>
    </row>
    <row r="3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12">
        <f t="shared" si="2"/>
        <v>0</v>
      </c>
    </row>
    <row r="31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12">
        <f t="shared" si="2"/>
        <v>0</v>
      </c>
    </row>
    <row r="32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12">
        <f t="shared" si="2"/>
        <v>0</v>
      </c>
    </row>
    <row r="33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12">
        <f t="shared" si="2"/>
        <v>0</v>
      </c>
    </row>
    <row r="34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12">
        <f t="shared" si="2"/>
        <v>0</v>
      </c>
    </row>
    <row r="3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12">
        <f t="shared" si="2"/>
        <v>0</v>
      </c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12">
        <f t="shared" si="2"/>
        <v>0</v>
      </c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12">
        <f t="shared" si="2"/>
        <v>0</v>
      </c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12">
        <f t="shared" si="2"/>
        <v>0</v>
      </c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12">
        <f t="shared" si="2"/>
        <v>0</v>
      </c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12">
        <f t="shared" si="2"/>
        <v>0</v>
      </c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12">
        <f t="shared" si="2"/>
        <v>0</v>
      </c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12">
        <f t="shared" si="2"/>
        <v>0</v>
      </c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12">
        <f t="shared" si="2"/>
        <v>0</v>
      </c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12">
        <f t="shared" si="2"/>
        <v>0</v>
      </c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2">
        <f t="shared" si="2"/>
        <v>0</v>
      </c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2">
        <f t="shared" si="2"/>
        <v>0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139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56</v>
      </c>
      <c r="E4" s="7">
        <f t="shared" ref="E4:E8" si="1">C4*D4</f>
        <v>476000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4</v>
      </c>
      <c r="E5" s="7">
        <f t="shared" si="1"/>
        <v>32000</v>
      </c>
    </row>
    <row r="6" ht="19.5" customHeight="1">
      <c r="A6" s="2" t="s">
        <v>9</v>
      </c>
      <c r="B6" s="4"/>
      <c r="C6" s="7">
        <v>32700.0</v>
      </c>
      <c r="D6" s="5">
        <f>D4+D5</f>
        <v>60</v>
      </c>
      <c r="E6" s="7">
        <f t="shared" si="1"/>
        <v>1962000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2</v>
      </c>
      <c r="E7" s="7">
        <f t="shared" si="1"/>
        <v>9000</v>
      </c>
    </row>
    <row r="8" ht="19.5" customHeight="1">
      <c r="A8" s="2" t="s">
        <v>11</v>
      </c>
      <c r="B8" s="4"/>
      <c r="C8" s="7">
        <v>500.0</v>
      </c>
      <c r="D8" s="5">
        <f>D4-COUNT(H14:H201)</f>
        <v>5</v>
      </c>
      <c r="E8" s="7">
        <f t="shared" si="1"/>
        <v>2500</v>
      </c>
    </row>
    <row r="9" ht="19.5" customHeight="1">
      <c r="A9" s="9"/>
      <c r="B9" s="9"/>
      <c r="C9" s="9"/>
      <c r="D9" s="10" t="s">
        <v>5</v>
      </c>
      <c r="E9" s="11">
        <f>SUM(E4:E8)</f>
        <v>2481500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IFERROR(__xludf.DUMMYFUNCTION("FILTER('個人別エントリー'!C2:L1018,'個人別エントリー'!B2:B1018=A1)"),310201.0)</f>
        <v>310201</v>
      </c>
      <c r="B14" s="5" t="str">
        <f>IFERROR(__xludf.DUMMYFUNCTION("""COMPUTED_VALUE"""),"石井雅人")</f>
        <v>石井雅人</v>
      </c>
      <c r="C14" s="5" t="str">
        <f>IFERROR(__xludf.DUMMYFUNCTION("""COMPUTED_VALUE"""),"いしいまさと")</f>
        <v>いしいまさと</v>
      </c>
      <c r="D14" s="5">
        <f>IFERROR(__xludf.DUMMYFUNCTION("""COMPUTED_VALUE"""),1.0)</f>
        <v>1</v>
      </c>
      <c r="E14" s="5" t="str">
        <f>IFERROR(__xludf.DUMMYFUNCTION("""COMPUTED_VALUE"""),"男")</f>
        <v>男</v>
      </c>
      <c r="F14" s="5" t="str">
        <f>IFERROR(__xludf.DUMMYFUNCTION("""COMPUTED_VALUE"""),"MUF")</f>
        <v>MUF</v>
      </c>
      <c r="G14" s="5" t="str">
        <f>IFERROR(__xludf.DUMMYFUNCTION("""COMPUTED_VALUE"""),"○出場")</f>
        <v>○出場</v>
      </c>
      <c r="H14" s="5">
        <f>IFERROR(__xludf.DUMMYFUNCTION("""COMPUTED_VALUE"""),270370.0)</f>
        <v>270370</v>
      </c>
      <c r="I14" s="5" t="str">
        <f>IFERROR(__xludf.DUMMYFUNCTION("""COMPUTED_VALUE"""),"×参加しない")</f>
        <v>×参加しない</v>
      </c>
      <c r="J14" s="5"/>
      <c r="K14" s="12">
        <f t="shared" ref="K14:K201" si="2">IF(AND(OR(F14="×欠場",F14=""),OR(G14="×欠場",G14="")),0,1)</f>
        <v>1</v>
      </c>
      <c r="M14" s="5" t="str">
        <f>IFERROR(__xludf.DUMMYFUNCTION("FILTER('リレー内容'!$C$2:$K$51,'リレー内容'!$B$2:$B$51=A1)"),"○出場")</f>
        <v>○出場</v>
      </c>
      <c r="N14" s="5" t="str">
        <f>IFERROR(__xludf.DUMMYFUNCTION("""COMPUTED_VALUE"""),"○出場")</f>
        <v>○出場</v>
      </c>
      <c r="O14" s="5">
        <f>IFERROR(__xludf.DUMMYFUNCTION("""COMPUTED_VALUE"""),11.0)</f>
        <v>11</v>
      </c>
      <c r="P14" s="5">
        <f>IFERROR(__xludf.DUMMYFUNCTION("""COMPUTED_VALUE"""),1.0)</f>
        <v>1</v>
      </c>
      <c r="Q14" s="5">
        <f>IFERROR(__xludf.DUMMYFUNCTION("""COMPUTED_VALUE"""),4.0)</f>
        <v>4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IFERROR(__xludf.DUMMYFUNCTION("""COMPUTED_VALUE"""),1.0)</f>
        <v>1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IFERROR(__xludf.DUMMYFUNCTION("""COMPUTED_VALUE"""),310202.0)</f>
        <v>310202</v>
      </c>
      <c r="B15" s="5" t="str">
        <f>IFERROR(__xludf.DUMMYFUNCTION("""COMPUTED_VALUE"""),"石槫朱莉")</f>
        <v>石槫朱莉</v>
      </c>
      <c r="C15" s="5" t="str">
        <f>IFERROR(__xludf.DUMMYFUNCTION("""COMPUTED_VALUE"""),"いしぐれあかり")</f>
        <v>いしぐれあかり</v>
      </c>
      <c r="D15" s="5">
        <f>IFERROR(__xludf.DUMMYFUNCTION("""COMPUTED_VALUE"""),1.0)</f>
        <v>1</v>
      </c>
      <c r="E15" s="5" t="str">
        <f>IFERROR(__xludf.DUMMYFUNCTION("""COMPUTED_VALUE"""),"女")</f>
        <v>女</v>
      </c>
      <c r="F15" s="5" t="str">
        <f>IFERROR(__xludf.DUMMYFUNCTION("""COMPUTED_VALUE"""),"WUF")</f>
        <v>WUF</v>
      </c>
      <c r="G15" s="5" t="str">
        <f>IFERROR(__xludf.DUMMYFUNCTION("""COMPUTED_VALUE"""),"○出場")</f>
        <v>○出場</v>
      </c>
      <c r="H15" s="5">
        <f>IFERROR(__xludf.DUMMYFUNCTION("""COMPUTED_VALUE"""),270381.0)</f>
        <v>270381</v>
      </c>
      <c r="I15" s="5" t="str">
        <f>IFERROR(__xludf.DUMMYFUNCTION("""COMPUTED_VALUE"""),"○参加する")</f>
        <v>○参加する</v>
      </c>
      <c r="J15" s="5"/>
      <c r="K15" s="12">
        <f t="shared" si="2"/>
        <v>1</v>
      </c>
    </row>
    <row r="16" ht="19.5" customHeight="1">
      <c r="A16" s="5">
        <f>IFERROR(__xludf.DUMMYFUNCTION("""COMPUTED_VALUE"""),310203.0)</f>
        <v>310203</v>
      </c>
      <c r="B16" s="5" t="str">
        <f>IFERROR(__xludf.DUMMYFUNCTION("""COMPUTED_VALUE"""),"板橋昌樹")</f>
        <v>板橋昌樹</v>
      </c>
      <c r="C16" s="5" t="str">
        <f>IFERROR(__xludf.DUMMYFUNCTION("""COMPUTED_VALUE"""),"いたばしまさき")</f>
        <v>いたばしまさき</v>
      </c>
      <c r="D16" s="5">
        <f>IFERROR(__xludf.DUMMYFUNCTION("""COMPUTED_VALUE"""),1.0)</f>
        <v>1</v>
      </c>
      <c r="E16" s="5" t="str">
        <f>IFERROR(__xludf.DUMMYFUNCTION("""COMPUTED_VALUE"""),"男")</f>
        <v>男</v>
      </c>
      <c r="F16" s="5" t="str">
        <f>IFERROR(__xludf.DUMMYFUNCTION("""COMPUTED_VALUE"""),"MUF")</f>
        <v>MUF</v>
      </c>
      <c r="G16" s="5" t="str">
        <f>IFERROR(__xludf.DUMMYFUNCTION("""COMPUTED_VALUE"""),"○出場")</f>
        <v>○出場</v>
      </c>
      <c r="H16" s="5">
        <f>IFERROR(__xludf.DUMMYFUNCTION("""COMPUTED_VALUE"""),270386.0)</f>
        <v>270386</v>
      </c>
      <c r="I16" s="5" t="str">
        <f>IFERROR(__xludf.DUMMYFUNCTION("""COMPUTED_VALUE"""),"×参加しない")</f>
        <v>×参加しない</v>
      </c>
      <c r="J16" s="5"/>
      <c r="K16" s="12">
        <f t="shared" si="2"/>
        <v>1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>
        <f>IFERROR(__xludf.DUMMYFUNCTION("""COMPUTED_VALUE"""),310204.0)</f>
        <v>310204</v>
      </c>
      <c r="B17" s="5" t="str">
        <f>IFERROR(__xludf.DUMMYFUNCTION("""COMPUTED_VALUE"""),"梅村紗矢")</f>
        <v>梅村紗矢</v>
      </c>
      <c r="C17" s="5" t="str">
        <f>IFERROR(__xludf.DUMMYFUNCTION("""COMPUTED_VALUE"""),"うめむらさや")</f>
        <v>うめむらさや</v>
      </c>
      <c r="D17" s="5">
        <f>IFERROR(__xludf.DUMMYFUNCTION("""COMPUTED_VALUE"""),1.0)</f>
        <v>1</v>
      </c>
      <c r="E17" s="5" t="str">
        <f>IFERROR(__xludf.DUMMYFUNCTION("""COMPUTED_VALUE"""),"女")</f>
        <v>女</v>
      </c>
      <c r="F17" s="5" t="str">
        <f>IFERROR(__xludf.DUMMYFUNCTION("""COMPUTED_VALUE"""),"WUF")</f>
        <v>WUF</v>
      </c>
      <c r="G17" s="5" t="str">
        <f>IFERROR(__xludf.DUMMYFUNCTION("""COMPUTED_VALUE"""),"○出場")</f>
        <v>○出場</v>
      </c>
      <c r="H17" s="5">
        <f>IFERROR(__xludf.DUMMYFUNCTION("""COMPUTED_VALUE"""),270380.0)</f>
        <v>270380</v>
      </c>
      <c r="I17" s="5" t="str">
        <f>IFERROR(__xludf.DUMMYFUNCTION("""COMPUTED_VALUE"""),"○参加する")</f>
        <v>○参加する</v>
      </c>
      <c r="J17" s="5"/>
      <c r="K17" s="12">
        <f t="shared" si="2"/>
        <v>1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>
        <f>IFERROR(__xludf.DUMMYFUNCTION("""COMPUTED_VALUE"""),310205.0)</f>
        <v>310205</v>
      </c>
      <c r="B18" s="5" t="str">
        <f>IFERROR(__xludf.DUMMYFUNCTION("""COMPUTED_VALUE"""),"大谷亮")</f>
        <v>大谷亮</v>
      </c>
      <c r="C18" s="5" t="str">
        <f>IFERROR(__xludf.DUMMYFUNCTION("""COMPUTED_VALUE"""),"おおたにりょう")</f>
        <v>おおたにりょう</v>
      </c>
      <c r="D18" s="5">
        <f>IFERROR(__xludf.DUMMYFUNCTION("""COMPUTED_VALUE"""),1.0)</f>
        <v>1</v>
      </c>
      <c r="E18" s="5" t="str">
        <f>IFERROR(__xludf.DUMMYFUNCTION("""COMPUTED_VALUE"""),"男")</f>
        <v>男</v>
      </c>
      <c r="F18" s="5" t="str">
        <f>IFERROR(__xludf.DUMMYFUNCTION("""COMPUTED_VALUE"""),"MUF")</f>
        <v>MUF</v>
      </c>
      <c r="G18" s="5" t="str">
        <f>IFERROR(__xludf.DUMMYFUNCTION("""COMPUTED_VALUE"""),"○出場")</f>
        <v>○出場</v>
      </c>
      <c r="H18" s="5">
        <f>IFERROR(__xludf.DUMMYFUNCTION("""COMPUTED_VALUE"""),270379.0)</f>
        <v>270379</v>
      </c>
      <c r="I18" s="5" t="str">
        <f>IFERROR(__xludf.DUMMYFUNCTION("""COMPUTED_VALUE"""),"×参加しない")</f>
        <v>×参加しない</v>
      </c>
      <c r="J18" s="5"/>
      <c r="K18" s="12">
        <f t="shared" si="2"/>
        <v>1</v>
      </c>
      <c r="M18" s="5"/>
      <c r="N18" s="2"/>
      <c r="O18" s="4"/>
      <c r="P18" s="2"/>
      <c r="Q18" s="3"/>
      <c r="R18" s="3"/>
      <c r="S18" s="3"/>
      <c r="T18" s="3"/>
      <c r="U18" s="4"/>
    </row>
    <row r="19" ht="19.5" customHeight="1">
      <c r="A19" s="5">
        <f>IFERROR(__xludf.DUMMYFUNCTION("""COMPUTED_VALUE"""),310206.0)</f>
        <v>310206</v>
      </c>
      <c r="B19" s="5" t="str">
        <f>IFERROR(__xludf.DUMMYFUNCTION("""COMPUTED_VALUE"""),"小川功祐")</f>
        <v>小川功祐</v>
      </c>
      <c r="C19" s="5" t="str">
        <f>IFERROR(__xludf.DUMMYFUNCTION("""COMPUTED_VALUE"""),"オガワコウスケ")</f>
        <v>オガワコウスケ</v>
      </c>
      <c r="D19" s="5">
        <f>IFERROR(__xludf.DUMMYFUNCTION("""COMPUTED_VALUE"""),1.0)</f>
        <v>1</v>
      </c>
      <c r="E19" s="5" t="str">
        <f>IFERROR(__xludf.DUMMYFUNCTION("""COMPUTED_VALUE"""),"男")</f>
        <v>男</v>
      </c>
      <c r="F19" s="5" t="str">
        <f>IFERROR(__xludf.DUMMYFUNCTION("""COMPUTED_VALUE"""),"×欠場")</f>
        <v>×欠場</v>
      </c>
      <c r="G19" s="5" t="str">
        <f>IFERROR(__xludf.DUMMYFUNCTION("""COMPUTED_VALUE"""),"×欠場")</f>
        <v>×欠場</v>
      </c>
      <c r="H19" s="5"/>
      <c r="I19" s="5" t="str">
        <f>IFERROR(__xludf.DUMMYFUNCTION("""COMPUTED_VALUE"""),"×参加しない")</f>
        <v>×参加しない</v>
      </c>
      <c r="J19" s="5"/>
      <c r="K19" s="12">
        <f t="shared" si="2"/>
        <v>0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>
        <f>IFERROR(__xludf.DUMMYFUNCTION("""COMPUTED_VALUE"""),310207.0)</f>
        <v>310207</v>
      </c>
      <c r="B20" s="5" t="str">
        <f>IFERROR(__xludf.DUMMYFUNCTION("""COMPUTED_VALUE"""),"蟹江孝太")</f>
        <v>蟹江孝太</v>
      </c>
      <c r="C20" s="5" t="str">
        <f>IFERROR(__xludf.DUMMYFUNCTION("""COMPUTED_VALUE"""),"かにえこうた")</f>
        <v>かにえこうた</v>
      </c>
      <c r="D20" s="5">
        <f>IFERROR(__xludf.DUMMYFUNCTION("""COMPUTED_VALUE"""),1.0)</f>
        <v>1</v>
      </c>
      <c r="E20" s="5" t="str">
        <f>IFERROR(__xludf.DUMMYFUNCTION("""COMPUTED_VALUE"""),"男")</f>
        <v>男</v>
      </c>
      <c r="F20" s="5" t="str">
        <f>IFERROR(__xludf.DUMMYFUNCTION("""COMPUTED_VALUE"""),"MUF")</f>
        <v>MUF</v>
      </c>
      <c r="G20" s="5" t="str">
        <f>IFERROR(__xludf.DUMMYFUNCTION("""COMPUTED_VALUE"""),"○出場")</f>
        <v>○出場</v>
      </c>
      <c r="H20" s="5">
        <f>IFERROR(__xludf.DUMMYFUNCTION("""COMPUTED_VALUE"""),270388.0)</f>
        <v>270388</v>
      </c>
      <c r="I20" s="5" t="str">
        <f>IFERROR(__xludf.DUMMYFUNCTION("""COMPUTED_VALUE"""),"×参加しない")</f>
        <v>×参加しない</v>
      </c>
      <c r="J20" s="5"/>
      <c r="K20" s="12">
        <f t="shared" si="2"/>
        <v>1</v>
      </c>
    </row>
    <row r="21" ht="19.5" customHeight="1">
      <c r="A21" s="5">
        <f>IFERROR(__xludf.DUMMYFUNCTION("""COMPUTED_VALUE"""),310208.0)</f>
        <v>310208</v>
      </c>
      <c r="B21" s="5" t="str">
        <f>IFERROR(__xludf.DUMMYFUNCTION("""COMPUTED_VALUE"""),"加納　歩輝")</f>
        <v>加納　歩輝</v>
      </c>
      <c r="C21" s="5" t="str">
        <f>IFERROR(__xludf.DUMMYFUNCTION("""COMPUTED_VALUE"""),"かのう　あゆき")</f>
        <v>かのう　あゆき</v>
      </c>
      <c r="D21" s="5">
        <f>IFERROR(__xludf.DUMMYFUNCTION("""COMPUTED_VALUE"""),1.0)</f>
        <v>1</v>
      </c>
      <c r="E21" s="5" t="str">
        <f>IFERROR(__xludf.DUMMYFUNCTION("""COMPUTED_VALUE"""),"男")</f>
        <v>男</v>
      </c>
      <c r="F21" s="5" t="str">
        <f>IFERROR(__xludf.DUMMYFUNCTION("""COMPUTED_VALUE"""),"×欠場")</f>
        <v>×欠場</v>
      </c>
      <c r="G21" s="5" t="str">
        <f>IFERROR(__xludf.DUMMYFUNCTION("""COMPUTED_VALUE"""),"×欠場")</f>
        <v>×欠場</v>
      </c>
      <c r="H21" s="5"/>
      <c r="I21" s="5" t="str">
        <f>IFERROR(__xludf.DUMMYFUNCTION("""COMPUTED_VALUE"""),"×参加しない")</f>
        <v>×参加しない</v>
      </c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>
        <f>IFERROR(__xludf.DUMMYFUNCTION("""COMPUTED_VALUE"""),310209.0)</f>
        <v>310209</v>
      </c>
      <c r="B22" s="5" t="str">
        <f>IFERROR(__xludf.DUMMYFUNCTION("""COMPUTED_VALUE"""),"小林建")</f>
        <v>小林建</v>
      </c>
      <c r="C22" s="5" t="str">
        <f>IFERROR(__xludf.DUMMYFUNCTION("""COMPUTED_VALUE"""),"こばやしたてき")</f>
        <v>こばやしたてき</v>
      </c>
      <c r="D22" s="5">
        <f>IFERROR(__xludf.DUMMYFUNCTION("""COMPUTED_VALUE"""),1.0)</f>
        <v>1</v>
      </c>
      <c r="E22" s="5" t="str">
        <f>IFERROR(__xludf.DUMMYFUNCTION("""COMPUTED_VALUE"""),"男")</f>
        <v>男</v>
      </c>
      <c r="F22" s="5" t="str">
        <f>IFERROR(__xludf.DUMMYFUNCTION("""COMPUTED_VALUE"""),"MUF")</f>
        <v>MUF</v>
      </c>
      <c r="G22" s="5" t="str">
        <f>IFERROR(__xludf.DUMMYFUNCTION("""COMPUTED_VALUE"""),"○出場")</f>
        <v>○出場</v>
      </c>
      <c r="H22" s="5">
        <f>IFERROR(__xludf.DUMMYFUNCTION("""COMPUTED_VALUE"""),270377.0)</f>
        <v>270377</v>
      </c>
      <c r="I22" s="5" t="str">
        <f>IFERROR(__xludf.DUMMYFUNCTION("""COMPUTED_VALUE"""),"×参加しない")</f>
        <v>×参加しない</v>
      </c>
      <c r="J22" s="5"/>
      <c r="K22" s="12">
        <f t="shared" si="2"/>
        <v>1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>
        <f>IFERROR(__xludf.DUMMYFUNCTION("""COMPUTED_VALUE"""),310210.0)</f>
        <v>310210</v>
      </c>
      <c r="B23" s="5" t="str">
        <f>IFERROR(__xludf.DUMMYFUNCTION("""COMPUTED_VALUE"""),"古美門正太郎")</f>
        <v>古美門正太郎</v>
      </c>
      <c r="C23" s="5" t="str">
        <f>IFERROR(__xludf.DUMMYFUNCTION("""COMPUTED_VALUE"""),"こみかどしょうたろう")</f>
        <v>こみかどしょうたろう</v>
      </c>
      <c r="D23" s="5">
        <f>IFERROR(__xludf.DUMMYFUNCTION("""COMPUTED_VALUE"""),1.0)</f>
        <v>1</v>
      </c>
      <c r="E23" s="5" t="str">
        <f>IFERROR(__xludf.DUMMYFUNCTION("""COMPUTED_VALUE"""),"男")</f>
        <v>男</v>
      </c>
      <c r="F23" s="5" t="str">
        <f>IFERROR(__xludf.DUMMYFUNCTION("""COMPUTED_VALUE"""),"×欠場")</f>
        <v>×欠場</v>
      </c>
      <c r="G23" s="5" t="str">
        <f>IFERROR(__xludf.DUMMYFUNCTION("""COMPUTED_VALUE"""),"×欠場")</f>
        <v>×欠場</v>
      </c>
      <c r="H23" s="5"/>
      <c r="I23" s="5" t="str">
        <f>IFERROR(__xludf.DUMMYFUNCTION("""COMPUTED_VALUE"""),"×参加しない")</f>
        <v>×参加しない</v>
      </c>
      <c r="J23" s="5"/>
      <c r="K23" s="12">
        <f t="shared" si="2"/>
        <v>0</v>
      </c>
      <c r="M23" s="2" t="str">
        <f>IFERROR(__xludf.DUMMYFUNCTION("FILTER('オフィシャル'!$B$2:$B$65,'オフィシャル'!$A$2:$A$65=A1)"),"波根竣介")</f>
        <v>波根竣介</v>
      </c>
      <c r="N23" s="4"/>
      <c r="O23" s="2" t="str">
        <f>IFERROR(__xludf.DUMMYFUNCTION("FILTER('オフィシャル'!$C$2:$C$65,'オフィシャル'!$A$2:$A$65=A1)"),"はねしゅんすけ")</f>
        <v>はねしゅんすけ</v>
      </c>
      <c r="P23" s="3"/>
      <c r="Q23" s="5" t="str">
        <f>IFERROR(__xludf.DUMMYFUNCTION("FILTER('オフィシャル'!$D$2:$D$65,'オフィシャル'!$A$2:$A$65=A1)"),"男")</f>
        <v>男</v>
      </c>
      <c r="R23" s="2" t="str">
        <f>IFERROR(__xludf.DUMMYFUNCTION("FILTER('オフィシャル'!$E$2:$E$65,'オフィシャル'!$A$2:$A$65=A1)"),"○する")</f>
        <v>○する</v>
      </c>
      <c r="S23" s="4"/>
      <c r="T23" s="14" t="str">
        <f>IFERROR(__xludf.DUMMYFUNCTION("FILTER('オフィシャル'!$F$2:$F$65,'オフィシャル'!$A$2:$A$65=A1)"),"")</f>
        <v/>
      </c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>
        <f>IFERROR(__xludf.DUMMYFUNCTION("""COMPUTED_VALUE"""),310211.0)</f>
        <v>310211</v>
      </c>
      <c r="B24" s="5" t="str">
        <f>IFERROR(__xludf.DUMMYFUNCTION("""COMPUTED_VALUE"""),"齋藤洋紀")</f>
        <v>齋藤洋紀</v>
      </c>
      <c r="C24" s="5" t="str">
        <f>IFERROR(__xludf.DUMMYFUNCTION("""COMPUTED_VALUE"""),"さいとうひろき")</f>
        <v>さいとうひろき</v>
      </c>
      <c r="D24" s="5">
        <f>IFERROR(__xludf.DUMMYFUNCTION("""COMPUTED_VALUE"""),1.0)</f>
        <v>1</v>
      </c>
      <c r="E24" s="5" t="str">
        <f>IFERROR(__xludf.DUMMYFUNCTION("""COMPUTED_VALUE"""),"男")</f>
        <v>男</v>
      </c>
      <c r="F24" s="5" t="str">
        <f>IFERROR(__xludf.DUMMYFUNCTION("""COMPUTED_VALUE"""),"MUF")</f>
        <v>MUF</v>
      </c>
      <c r="G24" s="5" t="str">
        <f>IFERROR(__xludf.DUMMYFUNCTION("""COMPUTED_VALUE"""),"○出場")</f>
        <v>○出場</v>
      </c>
      <c r="H24" s="5">
        <f>IFERROR(__xludf.DUMMYFUNCTION("""COMPUTED_VALUE"""),270392.0)</f>
        <v>270392</v>
      </c>
      <c r="I24" s="5" t="str">
        <f>IFERROR(__xludf.DUMMYFUNCTION("""COMPUTED_VALUE"""),"×参加しない")</f>
        <v>×参加しない</v>
      </c>
      <c r="J24" s="5"/>
      <c r="K24" s="12">
        <f t="shared" si="2"/>
        <v>1</v>
      </c>
      <c r="M24" s="2" t="str">
        <f>IFERROR(__xludf.DUMMYFUNCTION("""COMPUTED_VALUE"""),"西原大貴")</f>
        <v>西原大貴</v>
      </c>
      <c r="N24" s="4"/>
      <c r="O24" s="2" t="str">
        <f>IFERROR(__xludf.DUMMYFUNCTION("""COMPUTED_VALUE"""),"にしはらだいき")</f>
        <v>にしはらだいき</v>
      </c>
      <c r="P24" s="3"/>
      <c r="Q24" s="5" t="str">
        <f>IFERROR(__xludf.DUMMYFUNCTION("""COMPUTED_VALUE"""),"男")</f>
        <v>男</v>
      </c>
      <c r="R24" s="2" t="str">
        <f>IFERROR(__xludf.DUMMYFUNCTION("""COMPUTED_VALUE"""),"○する")</f>
        <v>○する</v>
      </c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>
        <f>IFERROR(__xludf.DUMMYFUNCTION("""COMPUTED_VALUE"""),310212.0)</f>
        <v>310212</v>
      </c>
      <c r="B25" s="5" t="str">
        <f>IFERROR(__xludf.DUMMYFUNCTION("""COMPUTED_VALUE"""),"佐久間輝斗")</f>
        <v>佐久間輝斗</v>
      </c>
      <c r="C25" s="5" t="str">
        <f>IFERROR(__xludf.DUMMYFUNCTION("""COMPUTED_VALUE"""),"さくまきらと")</f>
        <v>さくまきらと</v>
      </c>
      <c r="D25" s="5">
        <f>IFERROR(__xludf.DUMMYFUNCTION("""COMPUTED_VALUE"""),1.0)</f>
        <v>1</v>
      </c>
      <c r="E25" s="5" t="str">
        <f>IFERROR(__xludf.DUMMYFUNCTION("""COMPUTED_VALUE"""),"男")</f>
        <v>男</v>
      </c>
      <c r="F25" s="5" t="str">
        <f>IFERROR(__xludf.DUMMYFUNCTION("""COMPUTED_VALUE"""),"×欠場")</f>
        <v>×欠場</v>
      </c>
      <c r="G25" s="5" t="str">
        <f>IFERROR(__xludf.DUMMYFUNCTION("""COMPUTED_VALUE"""),"×欠場")</f>
        <v>×欠場</v>
      </c>
      <c r="H25" s="5"/>
      <c r="I25" s="5" t="str">
        <f>IFERROR(__xludf.DUMMYFUNCTION("""COMPUTED_VALUE"""),"×参加しない")</f>
        <v>×参加しない</v>
      </c>
      <c r="J25" s="5"/>
      <c r="K25" s="12">
        <f t="shared" si="2"/>
        <v>0</v>
      </c>
      <c r="M25" s="2" t="str">
        <f>IFERROR(__xludf.DUMMYFUNCTION("""COMPUTED_VALUE"""),"石川諒")</f>
        <v>石川諒</v>
      </c>
      <c r="N25" s="4"/>
      <c r="O25" s="2" t="str">
        <f>IFERROR(__xludf.DUMMYFUNCTION("""COMPUTED_VALUE"""),"いしかわりょう")</f>
        <v>いしかわりょう</v>
      </c>
      <c r="P25" s="3"/>
      <c r="Q25" s="19" t="str">
        <f>IFERROR(__xludf.DUMMYFUNCTION("""COMPUTED_VALUE"""),"男")</f>
        <v>男</v>
      </c>
      <c r="R25" s="2" t="str">
        <f>IFERROR(__xludf.DUMMYFUNCTION("""COMPUTED_VALUE"""),"○する")</f>
        <v>○する</v>
      </c>
      <c r="S25" s="4"/>
      <c r="T25" s="20"/>
      <c r="U25" s="15"/>
    </row>
    <row r="26" ht="19.5" customHeight="1">
      <c r="A26" s="5">
        <f>IFERROR(__xludf.DUMMYFUNCTION("""COMPUTED_VALUE"""),310213.0)</f>
        <v>310213</v>
      </c>
      <c r="B26" s="5" t="str">
        <f>IFERROR(__xludf.DUMMYFUNCTION("""COMPUTED_VALUE"""),"佐々木隆乃介")</f>
        <v>佐々木隆乃介</v>
      </c>
      <c r="C26" s="5" t="str">
        <f>IFERROR(__xludf.DUMMYFUNCTION("""COMPUTED_VALUE"""),"ササキリュウノスケ")</f>
        <v>ササキリュウノスケ</v>
      </c>
      <c r="D26" s="5">
        <f>IFERROR(__xludf.DUMMYFUNCTION("""COMPUTED_VALUE"""),1.0)</f>
        <v>1</v>
      </c>
      <c r="E26" s="5" t="str">
        <f>IFERROR(__xludf.DUMMYFUNCTION("""COMPUTED_VALUE"""),"男")</f>
        <v>男</v>
      </c>
      <c r="F26" s="5" t="str">
        <f>IFERROR(__xludf.DUMMYFUNCTION("""COMPUTED_VALUE"""),"MUF")</f>
        <v>MUF</v>
      </c>
      <c r="G26" s="5" t="str">
        <f>IFERROR(__xludf.DUMMYFUNCTION("""COMPUTED_VALUE"""),"○出場")</f>
        <v>○出場</v>
      </c>
      <c r="H26" s="5">
        <f>IFERROR(__xludf.DUMMYFUNCTION("""COMPUTED_VALUE"""),270373.0)</f>
        <v>270373</v>
      </c>
      <c r="I26" s="5" t="str">
        <f>IFERROR(__xludf.DUMMYFUNCTION("""COMPUTED_VALUE"""),"○参加する")</f>
        <v>○参加する</v>
      </c>
      <c r="J26" s="5"/>
      <c r="K26" s="12">
        <f t="shared" si="2"/>
        <v>1</v>
      </c>
      <c r="M26" s="2" t="str">
        <f>IFERROR(__xludf.DUMMYFUNCTION("""COMPUTED_VALUE"""),"桑山陽次")</f>
        <v>桑山陽次</v>
      </c>
      <c r="N26" s="4"/>
      <c r="O26" s="2" t="str">
        <f>IFERROR(__xludf.DUMMYFUNCTION("""COMPUTED_VALUE"""),"くわやまようじ")</f>
        <v>くわやまようじ</v>
      </c>
      <c r="P26" s="3"/>
      <c r="Q26" s="19" t="str">
        <f>IFERROR(__xludf.DUMMYFUNCTION("""COMPUTED_VALUE"""),"男")</f>
        <v>男</v>
      </c>
      <c r="R26" s="2" t="str">
        <f>IFERROR(__xludf.DUMMYFUNCTION("""COMPUTED_VALUE"""),"○する")</f>
        <v>○する</v>
      </c>
      <c r="S26" s="4"/>
      <c r="T26" s="20"/>
      <c r="U26" s="15"/>
    </row>
    <row r="27" ht="19.5" customHeight="1">
      <c r="A27" s="5">
        <f>IFERROR(__xludf.DUMMYFUNCTION("""COMPUTED_VALUE"""),310214.0)</f>
        <v>310214</v>
      </c>
      <c r="B27" s="5" t="str">
        <f>IFERROR(__xludf.DUMMYFUNCTION("""COMPUTED_VALUE"""),"柴山青空")</f>
        <v>柴山青空</v>
      </c>
      <c r="C27" s="5" t="str">
        <f>IFERROR(__xludf.DUMMYFUNCTION("""COMPUTED_VALUE"""),"しばやまそら")</f>
        <v>しばやまそら</v>
      </c>
      <c r="D27" s="5">
        <f>IFERROR(__xludf.DUMMYFUNCTION("""COMPUTED_VALUE"""),1.0)</f>
        <v>1</v>
      </c>
      <c r="E27" s="5" t="str">
        <f>IFERROR(__xludf.DUMMYFUNCTION("""COMPUTED_VALUE"""),"男")</f>
        <v>男</v>
      </c>
      <c r="F27" s="5" t="str">
        <f>IFERROR(__xludf.DUMMYFUNCTION("""COMPUTED_VALUE"""),"×欠場")</f>
        <v>×欠場</v>
      </c>
      <c r="G27" s="5" t="str">
        <f>IFERROR(__xludf.DUMMYFUNCTION("""COMPUTED_VALUE"""),"×欠場")</f>
        <v>×欠場</v>
      </c>
      <c r="H27" s="5"/>
      <c r="I27" s="5" t="str">
        <f>IFERROR(__xludf.DUMMYFUNCTION("""COMPUTED_VALUE"""),"×参加しない")</f>
        <v>×参加しない</v>
      </c>
      <c r="J27" s="5"/>
      <c r="K27" s="12">
        <f t="shared" si="2"/>
        <v>0</v>
      </c>
    </row>
    <row r="28" ht="19.5" customHeight="1">
      <c r="A28" s="5">
        <f>IFERROR(__xludf.DUMMYFUNCTION("""COMPUTED_VALUE"""),310215.0)</f>
        <v>310215</v>
      </c>
      <c r="B28" s="5" t="str">
        <f>IFERROR(__xludf.DUMMYFUNCTION("""COMPUTED_VALUE"""),"渋谷崇路")</f>
        <v>渋谷崇路</v>
      </c>
      <c r="C28" s="5" t="str">
        <f>IFERROR(__xludf.DUMMYFUNCTION("""COMPUTED_VALUE"""),"しぶやたかみち")</f>
        <v>しぶやたかみち</v>
      </c>
      <c r="D28" s="5">
        <f>IFERROR(__xludf.DUMMYFUNCTION("""COMPUTED_VALUE"""),1.0)</f>
        <v>1</v>
      </c>
      <c r="E28" s="5" t="str">
        <f>IFERROR(__xludf.DUMMYFUNCTION("""COMPUTED_VALUE"""),"男")</f>
        <v>男</v>
      </c>
      <c r="F28" s="5" t="str">
        <f>IFERROR(__xludf.DUMMYFUNCTION("""COMPUTED_VALUE"""),"×欠場")</f>
        <v>×欠場</v>
      </c>
      <c r="G28" s="5" t="str">
        <f>IFERROR(__xludf.DUMMYFUNCTION("""COMPUTED_VALUE"""),"×欠場")</f>
        <v>×欠場</v>
      </c>
      <c r="H28" s="5"/>
      <c r="I28" s="5" t="str">
        <f>IFERROR(__xludf.DUMMYFUNCTION("""COMPUTED_VALUE"""),"×参加しない")</f>
        <v>×参加しない</v>
      </c>
      <c r="J28" s="5"/>
      <c r="K28" s="12">
        <f t="shared" si="2"/>
        <v>0</v>
      </c>
    </row>
    <row r="29" ht="19.5" customHeight="1">
      <c r="A29" s="5">
        <f>IFERROR(__xludf.DUMMYFUNCTION("""COMPUTED_VALUE"""),310216.0)</f>
        <v>310216</v>
      </c>
      <c r="B29" s="5" t="str">
        <f>IFERROR(__xludf.DUMMYFUNCTION("""COMPUTED_VALUE"""),"鈴木悠斗")</f>
        <v>鈴木悠斗</v>
      </c>
      <c r="C29" s="5" t="str">
        <f>IFERROR(__xludf.DUMMYFUNCTION("""COMPUTED_VALUE"""),"すずきゆうと")</f>
        <v>すずきゆうと</v>
      </c>
      <c r="D29" s="5">
        <f>IFERROR(__xludf.DUMMYFUNCTION("""COMPUTED_VALUE"""),1.0)</f>
        <v>1</v>
      </c>
      <c r="E29" s="5" t="str">
        <f>IFERROR(__xludf.DUMMYFUNCTION("""COMPUTED_VALUE"""),"男")</f>
        <v>男</v>
      </c>
      <c r="F29" s="5" t="str">
        <f>IFERROR(__xludf.DUMMYFUNCTION("""COMPUTED_VALUE"""),"×欠場")</f>
        <v>×欠場</v>
      </c>
      <c r="G29" s="5" t="str">
        <f>IFERROR(__xludf.DUMMYFUNCTION("""COMPUTED_VALUE"""),"×欠場")</f>
        <v>×欠場</v>
      </c>
      <c r="H29" s="5"/>
      <c r="I29" s="5" t="str">
        <f>IFERROR(__xludf.DUMMYFUNCTION("""COMPUTED_VALUE"""),"×参加しない")</f>
        <v>×参加しない</v>
      </c>
      <c r="J29" s="5"/>
      <c r="K29" s="12">
        <f t="shared" si="2"/>
        <v>0</v>
      </c>
    </row>
    <row r="30" ht="19.5" customHeight="1">
      <c r="A30" s="5">
        <f>IFERROR(__xludf.DUMMYFUNCTION("""COMPUTED_VALUE"""),310217.0)</f>
        <v>310217</v>
      </c>
      <c r="B30" s="5" t="str">
        <f>IFERROR(__xludf.DUMMYFUNCTION("""COMPUTED_VALUE"""),"竹田　昂樹")</f>
        <v>竹田　昂樹</v>
      </c>
      <c r="C30" s="5" t="str">
        <f>IFERROR(__xludf.DUMMYFUNCTION("""COMPUTED_VALUE"""),"たけだ　こうき")</f>
        <v>たけだ　こうき</v>
      </c>
      <c r="D30" s="5">
        <f>IFERROR(__xludf.DUMMYFUNCTION("""COMPUTED_VALUE"""),1.0)</f>
        <v>1</v>
      </c>
      <c r="E30" s="5" t="str">
        <f>IFERROR(__xludf.DUMMYFUNCTION("""COMPUTED_VALUE"""),"男")</f>
        <v>男</v>
      </c>
      <c r="F30" s="5" t="str">
        <f>IFERROR(__xludf.DUMMYFUNCTION("""COMPUTED_VALUE"""),"×欠場")</f>
        <v>×欠場</v>
      </c>
      <c r="G30" s="5" t="str">
        <f>IFERROR(__xludf.DUMMYFUNCTION("""COMPUTED_VALUE"""),"×欠場")</f>
        <v>×欠場</v>
      </c>
      <c r="H30" s="5"/>
      <c r="I30" s="5" t="str">
        <f>IFERROR(__xludf.DUMMYFUNCTION("""COMPUTED_VALUE"""),"×参加しない")</f>
        <v>×参加しない</v>
      </c>
      <c r="J30" s="5"/>
      <c r="K30" s="12">
        <f t="shared" si="2"/>
        <v>0</v>
      </c>
    </row>
    <row r="31" ht="19.5" customHeight="1">
      <c r="A31" s="5">
        <f>IFERROR(__xludf.DUMMYFUNCTION("""COMPUTED_VALUE"""),310218.0)</f>
        <v>310218</v>
      </c>
      <c r="B31" s="5" t="str">
        <f>IFERROR(__xludf.DUMMYFUNCTION("""COMPUTED_VALUE"""),"丹波侑来")</f>
        <v>丹波侑来</v>
      </c>
      <c r="C31" s="5" t="str">
        <f>IFERROR(__xludf.DUMMYFUNCTION("""COMPUTED_VALUE"""),"たんばゆく")</f>
        <v>たんばゆく</v>
      </c>
      <c r="D31" s="5">
        <f>IFERROR(__xludf.DUMMYFUNCTION("""COMPUTED_VALUE"""),1.0)</f>
        <v>1</v>
      </c>
      <c r="E31" s="5" t="str">
        <f>IFERROR(__xludf.DUMMYFUNCTION("""COMPUTED_VALUE"""),"男")</f>
        <v>男</v>
      </c>
      <c r="F31" s="5" t="str">
        <f>IFERROR(__xludf.DUMMYFUNCTION("""COMPUTED_VALUE"""),"×欠場")</f>
        <v>×欠場</v>
      </c>
      <c r="G31" s="5" t="str">
        <f>IFERROR(__xludf.DUMMYFUNCTION("""COMPUTED_VALUE"""),"×欠場")</f>
        <v>×欠場</v>
      </c>
      <c r="H31" s="5"/>
      <c r="I31" s="5" t="str">
        <f>IFERROR(__xludf.DUMMYFUNCTION("""COMPUTED_VALUE"""),"×参加しない")</f>
        <v>×参加しない</v>
      </c>
      <c r="J31" s="5"/>
      <c r="K31" s="12">
        <f t="shared" si="2"/>
        <v>0</v>
      </c>
    </row>
    <row r="32" ht="19.5" customHeight="1">
      <c r="A32" s="5">
        <f>IFERROR(__xludf.DUMMYFUNCTION("""COMPUTED_VALUE"""),310219.0)</f>
        <v>310219</v>
      </c>
      <c r="B32" s="5" t="str">
        <f>IFERROR(__xludf.DUMMYFUNCTION("""COMPUTED_VALUE"""),"塚村悠希")</f>
        <v>塚村悠希</v>
      </c>
      <c r="C32" s="5" t="str">
        <f>IFERROR(__xludf.DUMMYFUNCTION("""COMPUTED_VALUE"""),"つかむらゆうき")</f>
        <v>つかむらゆうき</v>
      </c>
      <c r="D32" s="5">
        <f>IFERROR(__xludf.DUMMYFUNCTION("""COMPUTED_VALUE"""),1.0)</f>
        <v>1</v>
      </c>
      <c r="E32" s="5" t="str">
        <f>IFERROR(__xludf.DUMMYFUNCTION("""COMPUTED_VALUE"""),"男")</f>
        <v>男</v>
      </c>
      <c r="F32" s="5" t="str">
        <f>IFERROR(__xludf.DUMMYFUNCTION("""COMPUTED_VALUE"""),"MUF")</f>
        <v>MUF</v>
      </c>
      <c r="G32" s="5" t="str">
        <f>IFERROR(__xludf.DUMMYFUNCTION("""COMPUTED_VALUE"""),"○出場")</f>
        <v>○出場</v>
      </c>
      <c r="H32" s="5">
        <f>IFERROR(__xludf.DUMMYFUNCTION("""COMPUTED_VALUE"""),270378.0)</f>
        <v>270378</v>
      </c>
      <c r="I32" s="5" t="str">
        <f>IFERROR(__xludf.DUMMYFUNCTION("""COMPUTED_VALUE"""),"×参加しない")</f>
        <v>×参加しない</v>
      </c>
      <c r="J32" s="5"/>
      <c r="K32" s="12">
        <f t="shared" si="2"/>
        <v>1</v>
      </c>
    </row>
    <row r="33" ht="19.5" customHeight="1">
      <c r="A33" s="5">
        <f>IFERROR(__xludf.DUMMYFUNCTION("""COMPUTED_VALUE"""),310220.0)</f>
        <v>310220</v>
      </c>
      <c r="B33" s="5" t="str">
        <f>IFERROR(__xludf.DUMMYFUNCTION("""COMPUTED_VALUE"""),"徳岡俊介")</f>
        <v>徳岡俊介</v>
      </c>
      <c r="C33" s="5" t="str">
        <f>IFERROR(__xludf.DUMMYFUNCTION("""COMPUTED_VALUE"""),"とくおかしゅんすけ")</f>
        <v>とくおかしゅんすけ</v>
      </c>
      <c r="D33" s="5">
        <f>IFERROR(__xludf.DUMMYFUNCTION("""COMPUTED_VALUE"""),1.0)</f>
        <v>1</v>
      </c>
      <c r="E33" s="5" t="str">
        <f>IFERROR(__xludf.DUMMYFUNCTION("""COMPUTED_VALUE"""),"男")</f>
        <v>男</v>
      </c>
      <c r="F33" s="5" t="str">
        <f>IFERROR(__xludf.DUMMYFUNCTION("""COMPUTED_VALUE"""),"×欠場")</f>
        <v>×欠場</v>
      </c>
      <c r="G33" s="5" t="str">
        <f>IFERROR(__xludf.DUMMYFUNCTION("""COMPUTED_VALUE"""),"×欠場")</f>
        <v>×欠場</v>
      </c>
      <c r="H33" s="5"/>
      <c r="I33" s="5" t="str">
        <f>IFERROR(__xludf.DUMMYFUNCTION("""COMPUTED_VALUE"""),"×参加しない")</f>
        <v>×参加しない</v>
      </c>
      <c r="J33" s="5"/>
      <c r="K33" s="12">
        <f t="shared" si="2"/>
        <v>0</v>
      </c>
    </row>
    <row r="34" ht="19.5" customHeight="1">
      <c r="A34" s="5">
        <f>IFERROR(__xludf.DUMMYFUNCTION("""COMPUTED_VALUE"""),310221.0)</f>
        <v>310221</v>
      </c>
      <c r="B34" s="5" t="str">
        <f>IFERROR(__xludf.DUMMYFUNCTION("""COMPUTED_VALUE"""),"中澤渓進")</f>
        <v>中澤渓進</v>
      </c>
      <c r="C34" s="5" t="str">
        <f>IFERROR(__xludf.DUMMYFUNCTION("""COMPUTED_VALUE"""),"なかざわけいしん")</f>
        <v>なかざわけいしん</v>
      </c>
      <c r="D34" s="5">
        <f>IFERROR(__xludf.DUMMYFUNCTION("""COMPUTED_VALUE"""),1.0)</f>
        <v>1</v>
      </c>
      <c r="E34" s="5" t="str">
        <f>IFERROR(__xludf.DUMMYFUNCTION("""COMPUTED_VALUE"""),"男")</f>
        <v>男</v>
      </c>
      <c r="F34" s="5" t="str">
        <f>IFERROR(__xludf.DUMMYFUNCTION("""COMPUTED_VALUE"""),"×欠場")</f>
        <v>×欠場</v>
      </c>
      <c r="G34" s="5" t="str">
        <f>IFERROR(__xludf.DUMMYFUNCTION("""COMPUTED_VALUE"""),"×欠場")</f>
        <v>×欠場</v>
      </c>
      <c r="H34" s="5"/>
      <c r="I34" s="5" t="str">
        <f>IFERROR(__xludf.DUMMYFUNCTION("""COMPUTED_VALUE"""),"×参加しない")</f>
        <v>×参加しない</v>
      </c>
      <c r="J34" s="5"/>
      <c r="K34" s="12">
        <f t="shared" si="2"/>
        <v>0</v>
      </c>
    </row>
    <row r="35" ht="19.5" customHeight="1">
      <c r="A35" s="5">
        <f>IFERROR(__xludf.DUMMYFUNCTION("""COMPUTED_VALUE"""),310222.0)</f>
        <v>310222</v>
      </c>
      <c r="B35" s="5" t="str">
        <f>IFERROR(__xludf.DUMMYFUNCTION("""COMPUTED_VALUE"""),"中嶋百蔵")</f>
        <v>中嶋百蔵</v>
      </c>
      <c r="C35" s="5" t="str">
        <f>IFERROR(__xludf.DUMMYFUNCTION("""COMPUTED_VALUE"""),"なかじまももぞう")</f>
        <v>なかじまももぞう</v>
      </c>
      <c r="D35" s="5">
        <f>IFERROR(__xludf.DUMMYFUNCTION("""COMPUTED_VALUE"""),1.0)</f>
        <v>1</v>
      </c>
      <c r="E35" s="5" t="str">
        <f>IFERROR(__xludf.DUMMYFUNCTION("""COMPUTED_VALUE"""),"男")</f>
        <v>男</v>
      </c>
      <c r="F35" s="5" t="str">
        <f>IFERROR(__xludf.DUMMYFUNCTION("""COMPUTED_VALUE"""),"MUF")</f>
        <v>MUF</v>
      </c>
      <c r="G35" s="5" t="str">
        <f>IFERROR(__xludf.DUMMYFUNCTION("""COMPUTED_VALUE"""),"○出場")</f>
        <v>○出場</v>
      </c>
      <c r="H35" s="5">
        <f>IFERROR(__xludf.DUMMYFUNCTION("""COMPUTED_VALUE"""),270385.0)</f>
        <v>270385</v>
      </c>
      <c r="I35" s="5" t="str">
        <f>IFERROR(__xludf.DUMMYFUNCTION("""COMPUTED_VALUE"""),"○参加する")</f>
        <v>○参加する</v>
      </c>
      <c r="J35" s="5"/>
      <c r="K35" s="12">
        <f t="shared" si="2"/>
        <v>1</v>
      </c>
    </row>
    <row r="36" ht="19.5" customHeight="1">
      <c r="A36" s="5">
        <f>IFERROR(__xludf.DUMMYFUNCTION("""COMPUTED_VALUE"""),310223.0)</f>
        <v>310223</v>
      </c>
      <c r="B36" s="5" t="str">
        <f>IFERROR(__xludf.DUMMYFUNCTION("""COMPUTED_VALUE"""),"中西澄海")</f>
        <v>中西澄海</v>
      </c>
      <c r="C36" s="5" t="str">
        <f>IFERROR(__xludf.DUMMYFUNCTION("""COMPUTED_VALUE"""),"なかにしすかい")</f>
        <v>なかにしすかい</v>
      </c>
      <c r="D36" s="5">
        <f>IFERROR(__xludf.DUMMYFUNCTION("""COMPUTED_VALUE"""),1.0)</f>
        <v>1</v>
      </c>
      <c r="E36" s="5" t="str">
        <f>IFERROR(__xludf.DUMMYFUNCTION("""COMPUTED_VALUE"""),"女")</f>
        <v>女</v>
      </c>
      <c r="F36" s="5" t="str">
        <f>IFERROR(__xludf.DUMMYFUNCTION("""COMPUTED_VALUE"""),"WUF")</f>
        <v>WUF</v>
      </c>
      <c r="G36" s="5" t="str">
        <f>IFERROR(__xludf.DUMMYFUNCTION("""COMPUTED_VALUE"""),"○出場")</f>
        <v>○出場</v>
      </c>
      <c r="H36" s="5">
        <f>IFERROR(__xludf.DUMMYFUNCTION("""COMPUTED_VALUE"""),270391.0)</f>
        <v>270391</v>
      </c>
      <c r="I36" s="5" t="str">
        <f>IFERROR(__xludf.DUMMYFUNCTION("""COMPUTED_VALUE"""),"×参加しない")</f>
        <v>×参加しない</v>
      </c>
      <c r="J36" s="5"/>
      <c r="K36" s="12">
        <f t="shared" si="2"/>
        <v>1</v>
      </c>
    </row>
    <row r="37" ht="19.5" customHeight="1">
      <c r="A37" s="5">
        <f>IFERROR(__xludf.DUMMYFUNCTION("""COMPUTED_VALUE"""),310224.0)</f>
        <v>310224</v>
      </c>
      <c r="B37" s="5" t="str">
        <f>IFERROR(__xludf.DUMMYFUNCTION("""COMPUTED_VALUE"""),"西山佑斗")</f>
        <v>西山佑斗</v>
      </c>
      <c r="C37" s="5" t="str">
        <f>IFERROR(__xludf.DUMMYFUNCTION("""COMPUTED_VALUE"""),"にしやまゆうと")</f>
        <v>にしやまゆうと</v>
      </c>
      <c r="D37" s="5">
        <f>IFERROR(__xludf.DUMMYFUNCTION("""COMPUTED_VALUE"""),1.0)</f>
        <v>1</v>
      </c>
      <c r="E37" s="5" t="str">
        <f>IFERROR(__xludf.DUMMYFUNCTION("""COMPUTED_VALUE"""),"男")</f>
        <v>男</v>
      </c>
      <c r="F37" s="5" t="str">
        <f>IFERROR(__xludf.DUMMYFUNCTION("""COMPUTED_VALUE"""),"×欠場")</f>
        <v>×欠場</v>
      </c>
      <c r="G37" s="5" t="str">
        <f>IFERROR(__xludf.DUMMYFUNCTION("""COMPUTED_VALUE"""),"×欠場")</f>
        <v>×欠場</v>
      </c>
      <c r="H37" s="5"/>
      <c r="I37" s="5" t="str">
        <f>IFERROR(__xludf.DUMMYFUNCTION("""COMPUTED_VALUE"""),"×参加しない")</f>
        <v>×参加しない</v>
      </c>
      <c r="J37" s="5"/>
      <c r="K37" s="12">
        <f t="shared" si="2"/>
        <v>0</v>
      </c>
    </row>
    <row r="38" ht="19.5" customHeight="1">
      <c r="A38" s="5">
        <f>IFERROR(__xludf.DUMMYFUNCTION("""COMPUTED_VALUE"""),310225.0)</f>
        <v>310225</v>
      </c>
      <c r="B38" s="5" t="str">
        <f>IFERROR(__xludf.DUMMYFUNCTION("""COMPUTED_VALUE"""),"原島裕一")</f>
        <v>原島裕一</v>
      </c>
      <c r="C38" s="5" t="str">
        <f>IFERROR(__xludf.DUMMYFUNCTION("""COMPUTED_VALUE"""),"はらしまひろかず")</f>
        <v>はらしまひろかず</v>
      </c>
      <c r="D38" s="5">
        <f>IFERROR(__xludf.DUMMYFUNCTION("""COMPUTED_VALUE"""),1.0)</f>
        <v>1</v>
      </c>
      <c r="E38" s="5" t="str">
        <f>IFERROR(__xludf.DUMMYFUNCTION("""COMPUTED_VALUE"""),"男")</f>
        <v>男</v>
      </c>
      <c r="F38" s="5" t="str">
        <f>IFERROR(__xludf.DUMMYFUNCTION("""COMPUTED_VALUE"""),"MUF")</f>
        <v>MUF</v>
      </c>
      <c r="G38" s="5" t="str">
        <f>IFERROR(__xludf.DUMMYFUNCTION("""COMPUTED_VALUE"""),"○出場")</f>
        <v>○出場</v>
      </c>
      <c r="H38" s="5">
        <f>IFERROR(__xludf.DUMMYFUNCTION("""COMPUTED_VALUE"""),270369.0)</f>
        <v>270369</v>
      </c>
      <c r="I38" s="5" t="str">
        <f>IFERROR(__xludf.DUMMYFUNCTION("""COMPUTED_VALUE"""),"○参加する")</f>
        <v>○参加する</v>
      </c>
      <c r="J38" s="5"/>
      <c r="K38" s="12">
        <f t="shared" si="2"/>
        <v>1</v>
      </c>
    </row>
    <row r="39" ht="19.5" customHeight="1">
      <c r="A39" s="5">
        <f>IFERROR(__xludf.DUMMYFUNCTION("""COMPUTED_VALUE"""),310226.0)</f>
        <v>310226</v>
      </c>
      <c r="B39" s="5" t="str">
        <f>IFERROR(__xludf.DUMMYFUNCTION("""COMPUTED_VALUE"""),"保科魁")</f>
        <v>保科魁</v>
      </c>
      <c r="C39" s="5" t="str">
        <f>IFERROR(__xludf.DUMMYFUNCTION("""COMPUTED_VALUE"""),"ほしなかい")</f>
        <v>ほしなかい</v>
      </c>
      <c r="D39" s="5">
        <f>IFERROR(__xludf.DUMMYFUNCTION("""COMPUTED_VALUE"""),1.0)</f>
        <v>1</v>
      </c>
      <c r="E39" s="5" t="str">
        <f>IFERROR(__xludf.DUMMYFUNCTION("""COMPUTED_VALUE"""),"男")</f>
        <v>男</v>
      </c>
      <c r="F39" s="5" t="str">
        <f>IFERROR(__xludf.DUMMYFUNCTION("""COMPUTED_VALUE"""),"×欠場")</f>
        <v>×欠場</v>
      </c>
      <c r="G39" s="5" t="str">
        <f>IFERROR(__xludf.DUMMYFUNCTION("""COMPUTED_VALUE"""),"×欠場")</f>
        <v>×欠場</v>
      </c>
      <c r="H39" s="5"/>
      <c r="I39" s="5" t="str">
        <f>IFERROR(__xludf.DUMMYFUNCTION("""COMPUTED_VALUE"""),"×参加しない")</f>
        <v>×参加しない</v>
      </c>
      <c r="J39" s="5"/>
      <c r="K39" s="12">
        <f t="shared" si="2"/>
        <v>0</v>
      </c>
    </row>
    <row r="40" ht="19.5" customHeight="1">
      <c r="A40" s="5">
        <f>IFERROR(__xludf.DUMMYFUNCTION("""COMPUTED_VALUE"""),310227.0)</f>
        <v>310227</v>
      </c>
      <c r="B40" s="5" t="str">
        <f>IFERROR(__xludf.DUMMYFUNCTION("""COMPUTED_VALUE"""),"松元 大空")</f>
        <v>松元 大空</v>
      </c>
      <c r="C40" s="5" t="str">
        <f>IFERROR(__xludf.DUMMYFUNCTION("""COMPUTED_VALUE"""),"まつもと たく")</f>
        <v>まつもと たく</v>
      </c>
      <c r="D40" s="5">
        <f>IFERROR(__xludf.DUMMYFUNCTION("""COMPUTED_VALUE"""),1.0)</f>
        <v>1</v>
      </c>
      <c r="E40" s="5" t="str">
        <f>IFERROR(__xludf.DUMMYFUNCTION("""COMPUTED_VALUE"""),"男")</f>
        <v>男</v>
      </c>
      <c r="F40" s="5" t="str">
        <f>IFERROR(__xludf.DUMMYFUNCTION("""COMPUTED_VALUE"""),"MUF")</f>
        <v>MUF</v>
      </c>
      <c r="G40" s="5" t="str">
        <f>IFERROR(__xludf.DUMMYFUNCTION("""COMPUTED_VALUE"""),"○出場")</f>
        <v>○出場</v>
      </c>
      <c r="H40" s="5">
        <f>IFERROR(__xludf.DUMMYFUNCTION("""COMPUTED_VALUE"""),270393.0)</f>
        <v>270393</v>
      </c>
      <c r="I40" s="5" t="str">
        <f>IFERROR(__xludf.DUMMYFUNCTION("""COMPUTED_VALUE"""),"×参加しない")</f>
        <v>×参加しない</v>
      </c>
      <c r="J40" s="5"/>
      <c r="K40" s="12">
        <f t="shared" si="2"/>
        <v>1</v>
      </c>
    </row>
    <row r="41" ht="19.5" customHeight="1">
      <c r="A41" s="5">
        <f>IFERROR(__xludf.DUMMYFUNCTION("""COMPUTED_VALUE"""),310228.0)</f>
        <v>310228</v>
      </c>
      <c r="B41" s="5" t="str">
        <f>IFERROR(__xludf.DUMMYFUNCTION("""COMPUTED_VALUE"""),"山口　宗大")</f>
        <v>山口　宗大</v>
      </c>
      <c r="C41" s="5" t="str">
        <f>IFERROR(__xludf.DUMMYFUNCTION("""COMPUTED_VALUE"""),"ヤマグチ　ソウタ")</f>
        <v>ヤマグチ　ソウタ</v>
      </c>
      <c r="D41" s="5">
        <f>IFERROR(__xludf.DUMMYFUNCTION("""COMPUTED_VALUE"""),1.0)</f>
        <v>1</v>
      </c>
      <c r="E41" s="5" t="str">
        <f>IFERROR(__xludf.DUMMYFUNCTION("""COMPUTED_VALUE"""),"男")</f>
        <v>男</v>
      </c>
      <c r="F41" s="5" t="str">
        <f>IFERROR(__xludf.DUMMYFUNCTION("""COMPUTED_VALUE"""),"MUF")</f>
        <v>MUF</v>
      </c>
      <c r="G41" s="5" t="str">
        <f>IFERROR(__xludf.DUMMYFUNCTION("""COMPUTED_VALUE"""),"○出場")</f>
        <v>○出場</v>
      </c>
      <c r="H41" s="5">
        <f>IFERROR(__xludf.DUMMYFUNCTION("""COMPUTED_VALUE"""),270372.0)</f>
        <v>270372</v>
      </c>
      <c r="I41" s="5" t="str">
        <f>IFERROR(__xludf.DUMMYFUNCTION("""COMPUTED_VALUE"""),"○参加する")</f>
        <v>○参加する</v>
      </c>
      <c r="J41" s="5"/>
      <c r="K41" s="12">
        <f t="shared" si="2"/>
        <v>1</v>
      </c>
    </row>
    <row r="42" ht="19.5" customHeight="1">
      <c r="A42" s="5">
        <f>IFERROR(__xludf.DUMMYFUNCTION("""COMPUTED_VALUE"""),310229.0)</f>
        <v>310229</v>
      </c>
      <c r="B42" s="5" t="str">
        <f>IFERROR(__xludf.DUMMYFUNCTION("""COMPUTED_VALUE"""),"吉葉誉将")</f>
        <v>吉葉誉将</v>
      </c>
      <c r="C42" s="5" t="str">
        <f>IFERROR(__xludf.DUMMYFUNCTION("""COMPUTED_VALUE"""),"よしばたかひろ")</f>
        <v>よしばたかひろ</v>
      </c>
      <c r="D42" s="5">
        <f>IFERROR(__xludf.DUMMYFUNCTION("""COMPUTED_VALUE"""),1.0)</f>
        <v>1</v>
      </c>
      <c r="E42" s="5" t="str">
        <f>IFERROR(__xludf.DUMMYFUNCTION("""COMPUTED_VALUE"""),"男")</f>
        <v>男</v>
      </c>
      <c r="F42" s="5" t="str">
        <f>IFERROR(__xludf.DUMMYFUNCTION("""COMPUTED_VALUE"""),"×欠場")</f>
        <v>×欠場</v>
      </c>
      <c r="G42" s="5" t="str">
        <f>IFERROR(__xludf.DUMMYFUNCTION("""COMPUTED_VALUE"""),"×欠場")</f>
        <v>×欠場</v>
      </c>
      <c r="H42" s="5"/>
      <c r="I42" s="5" t="str">
        <f>IFERROR(__xludf.DUMMYFUNCTION("""COMPUTED_VALUE"""),"×参加しない")</f>
        <v>×参加しない</v>
      </c>
      <c r="J42" s="5"/>
      <c r="K42" s="12">
        <f t="shared" si="2"/>
        <v>0</v>
      </c>
    </row>
    <row r="43" ht="19.5" customHeight="1">
      <c r="A43" s="5">
        <f>IFERROR(__xludf.DUMMYFUNCTION("""COMPUTED_VALUE"""),210201.0)</f>
        <v>210201</v>
      </c>
      <c r="B43" s="5" t="str">
        <f>IFERROR(__xludf.DUMMYFUNCTION("""COMPUTED_VALUE"""),"三澤智暉")</f>
        <v>三澤智暉</v>
      </c>
      <c r="C43" s="5" t="str">
        <f>IFERROR(__xludf.DUMMYFUNCTION("""COMPUTED_VALUE"""),"みさわもとき")</f>
        <v>みさわもとき</v>
      </c>
      <c r="D43" s="5">
        <f>IFERROR(__xludf.DUMMYFUNCTION("""COMPUTED_VALUE"""),2.0)</f>
        <v>2</v>
      </c>
      <c r="E43" s="5" t="str">
        <f>IFERROR(__xludf.DUMMYFUNCTION("""COMPUTED_VALUE"""),"男")</f>
        <v>男</v>
      </c>
      <c r="F43" s="5" t="str">
        <f>IFERROR(__xludf.DUMMYFUNCTION("""COMPUTED_VALUE"""),"×欠場")</f>
        <v>×欠場</v>
      </c>
      <c r="G43" s="5" t="str">
        <f>IFERROR(__xludf.DUMMYFUNCTION("""COMPUTED_VALUE"""),"×欠場")</f>
        <v>×欠場</v>
      </c>
      <c r="H43" s="5"/>
      <c r="I43" s="5" t="str">
        <f>IFERROR(__xludf.DUMMYFUNCTION("""COMPUTED_VALUE"""),"×参加しない")</f>
        <v>×参加しない</v>
      </c>
      <c r="J43" s="5"/>
      <c r="K43" s="12">
        <f t="shared" si="2"/>
        <v>0</v>
      </c>
    </row>
    <row r="44" ht="19.5" customHeight="1">
      <c r="A44" s="5">
        <f>IFERROR(__xludf.DUMMYFUNCTION("""COMPUTED_VALUE"""),210202.0)</f>
        <v>210202</v>
      </c>
      <c r="B44" s="5" t="str">
        <f>IFERROR(__xludf.DUMMYFUNCTION("""COMPUTED_VALUE"""),"林亮佑")</f>
        <v>林亮佑</v>
      </c>
      <c r="C44" s="5" t="str">
        <f>IFERROR(__xludf.DUMMYFUNCTION("""COMPUTED_VALUE"""),"はやしりょうすけ")</f>
        <v>はやしりょうすけ</v>
      </c>
      <c r="D44" s="5">
        <f>IFERROR(__xludf.DUMMYFUNCTION("""COMPUTED_VALUE"""),2.0)</f>
        <v>2</v>
      </c>
      <c r="E44" s="5" t="str">
        <f>IFERROR(__xludf.DUMMYFUNCTION("""COMPUTED_VALUE"""),"男")</f>
        <v>男</v>
      </c>
      <c r="F44" s="5" t="str">
        <f>IFERROR(__xludf.DUMMYFUNCTION("""COMPUTED_VALUE"""),"MUA")</f>
        <v>MUA</v>
      </c>
      <c r="G44" s="5" t="str">
        <f>IFERROR(__xludf.DUMMYFUNCTION("""COMPUTED_VALUE"""),"○出場")</f>
        <v>○出場</v>
      </c>
      <c r="H44" s="5">
        <f>IFERROR(__xludf.DUMMYFUNCTION("""COMPUTED_VALUE"""),515745.0)</f>
        <v>515745</v>
      </c>
      <c r="I44" s="5" t="str">
        <f>IFERROR(__xludf.DUMMYFUNCTION("""COMPUTED_VALUE"""),"○参加する")</f>
        <v>○参加する</v>
      </c>
      <c r="J44" s="5"/>
      <c r="K44" s="12">
        <f t="shared" si="2"/>
        <v>1</v>
      </c>
    </row>
    <row r="45" ht="19.5" customHeight="1">
      <c r="A45" s="5">
        <f>IFERROR(__xludf.DUMMYFUNCTION("""COMPUTED_VALUE"""),210203.0)</f>
        <v>210203</v>
      </c>
      <c r="B45" s="5" t="str">
        <f>IFERROR(__xludf.DUMMYFUNCTION("""COMPUTED_VALUE"""),"堅田隆之介")</f>
        <v>堅田隆之介</v>
      </c>
      <c r="C45" s="5" t="str">
        <f>IFERROR(__xludf.DUMMYFUNCTION("""COMPUTED_VALUE"""),"かただりゅうのすけ")</f>
        <v>かただりゅうのすけ</v>
      </c>
      <c r="D45" s="5">
        <f>IFERROR(__xludf.DUMMYFUNCTION("""COMPUTED_VALUE"""),2.0)</f>
        <v>2</v>
      </c>
      <c r="E45" s="5" t="str">
        <f>IFERROR(__xludf.DUMMYFUNCTION("""COMPUTED_VALUE"""),"男")</f>
        <v>男</v>
      </c>
      <c r="F45" s="5" t="str">
        <f>IFERROR(__xludf.DUMMYFUNCTION("""COMPUTED_VALUE"""),"×欠場")</f>
        <v>×欠場</v>
      </c>
      <c r="G45" s="5" t="str">
        <f>IFERROR(__xludf.DUMMYFUNCTION("""COMPUTED_VALUE"""),"×欠場")</f>
        <v>×欠場</v>
      </c>
      <c r="H45" s="5"/>
      <c r="I45" s="5" t="str">
        <f>IFERROR(__xludf.DUMMYFUNCTION("""COMPUTED_VALUE"""),"×参加しない")</f>
        <v>×参加しない</v>
      </c>
      <c r="J45" s="5"/>
      <c r="K45" s="12">
        <f t="shared" si="2"/>
        <v>0</v>
      </c>
    </row>
    <row r="46" ht="19.5" customHeight="1">
      <c r="A46" s="5">
        <f>IFERROR(__xludf.DUMMYFUNCTION("""COMPUTED_VALUE"""),210204.0)</f>
        <v>210204</v>
      </c>
      <c r="B46" s="5" t="str">
        <f>IFERROR(__xludf.DUMMYFUNCTION("""COMPUTED_VALUE"""),"石川琳久")</f>
        <v>石川琳久</v>
      </c>
      <c r="C46" s="5" t="str">
        <f>IFERROR(__xludf.DUMMYFUNCTION("""COMPUTED_VALUE"""),"いしかわりく")</f>
        <v>いしかわりく</v>
      </c>
      <c r="D46" s="5">
        <f>IFERROR(__xludf.DUMMYFUNCTION("""COMPUTED_VALUE"""),2.0)</f>
        <v>2</v>
      </c>
      <c r="E46" s="5" t="str">
        <f>IFERROR(__xludf.DUMMYFUNCTION("""COMPUTED_VALUE"""),"男")</f>
        <v>男</v>
      </c>
      <c r="F46" s="5" t="str">
        <f>IFERROR(__xludf.DUMMYFUNCTION("""COMPUTED_VALUE"""),"×欠場")</f>
        <v>×欠場</v>
      </c>
      <c r="G46" s="5" t="str">
        <f>IFERROR(__xludf.DUMMYFUNCTION("""COMPUTED_VALUE"""),"×欠場")</f>
        <v>×欠場</v>
      </c>
      <c r="H46" s="5"/>
      <c r="I46" s="5" t="str">
        <f>IFERROR(__xludf.DUMMYFUNCTION("""COMPUTED_VALUE"""),"×参加しない")</f>
        <v>×参加しない</v>
      </c>
      <c r="J46" s="5"/>
      <c r="K46" s="12">
        <f t="shared" si="2"/>
        <v>0</v>
      </c>
    </row>
    <row r="47" ht="19.5" customHeight="1">
      <c r="A47" s="5">
        <f>IFERROR(__xludf.DUMMYFUNCTION("""COMPUTED_VALUE"""),210205.0)</f>
        <v>210205</v>
      </c>
      <c r="B47" s="5" t="str">
        <f>IFERROR(__xludf.DUMMYFUNCTION("""COMPUTED_VALUE"""),"山村瑛")</f>
        <v>山村瑛</v>
      </c>
      <c r="C47" s="5" t="str">
        <f>IFERROR(__xludf.DUMMYFUNCTION("""COMPUTED_VALUE"""),"やまむらあきら")</f>
        <v>やまむらあきら</v>
      </c>
      <c r="D47" s="5">
        <f>IFERROR(__xludf.DUMMYFUNCTION("""COMPUTED_VALUE"""),2.0)</f>
        <v>2</v>
      </c>
      <c r="E47" s="5" t="str">
        <f>IFERROR(__xludf.DUMMYFUNCTION("""COMPUTED_VALUE"""),"男")</f>
        <v>男</v>
      </c>
      <c r="F47" s="5" t="str">
        <f>IFERROR(__xludf.DUMMYFUNCTION("""COMPUTED_VALUE"""),"MUA")</f>
        <v>MUA</v>
      </c>
      <c r="G47" s="5" t="str">
        <f>IFERROR(__xludf.DUMMYFUNCTION("""COMPUTED_VALUE"""),"○出場")</f>
        <v>○出場</v>
      </c>
      <c r="H47" s="5">
        <f>IFERROR(__xludf.DUMMYFUNCTION("""COMPUTED_VALUE"""),515810.0)</f>
        <v>515810</v>
      </c>
      <c r="I47" s="5" t="str">
        <f>IFERROR(__xludf.DUMMYFUNCTION("""COMPUTED_VALUE"""),"○参加する")</f>
        <v>○参加する</v>
      </c>
      <c r="J47" s="5"/>
      <c r="K47" s="12">
        <f t="shared" si="2"/>
        <v>1</v>
      </c>
    </row>
    <row r="48" ht="19.5" customHeight="1">
      <c r="A48" s="5">
        <f>IFERROR(__xludf.DUMMYFUNCTION("""COMPUTED_VALUE"""),210206.0)</f>
        <v>210206</v>
      </c>
      <c r="B48" s="5" t="str">
        <f>IFERROR(__xludf.DUMMYFUNCTION("""COMPUTED_VALUE"""),"大川　虎之介")</f>
        <v>大川　虎之介</v>
      </c>
      <c r="C48" s="5" t="str">
        <f>IFERROR(__xludf.DUMMYFUNCTION("""COMPUTED_VALUE"""),"おおかわ　とらのすけ")</f>
        <v>おおかわ　とらのすけ</v>
      </c>
      <c r="D48" s="5">
        <f>IFERROR(__xludf.DUMMYFUNCTION("""COMPUTED_VALUE"""),2.0)</f>
        <v>2</v>
      </c>
      <c r="E48" s="5" t="str">
        <f>IFERROR(__xludf.DUMMYFUNCTION("""COMPUTED_VALUE"""),"男")</f>
        <v>男</v>
      </c>
      <c r="F48" s="5" t="str">
        <f>IFERROR(__xludf.DUMMYFUNCTION("""COMPUTED_VALUE"""),"MUA")</f>
        <v>MUA</v>
      </c>
      <c r="G48" s="5" t="str">
        <f>IFERROR(__xludf.DUMMYFUNCTION("""COMPUTED_VALUE"""),"○出場")</f>
        <v>○出場</v>
      </c>
      <c r="H48" s="5">
        <f>IFERROR(__xludf.DUMMYFUNCTION("""COMPUTED_VALUE"""),261221.0)</f>
        <v>261221</v>
      </c>
      <c r="I48" s="5" t="str">
        <f>IFERROR(__xludf.DUMMYFUNCTION("""COMPUTED_VALUE"""),"○参加する")</f>
        <v>○参加する</v>
      </c>
      <c r="J48" s="5"/>
      <c r="K48" s="12">
        <f t="shared" si="2"/>
        <v>1</v>
      </c>
    </row>
    <row r="49" ht="19.5" customHeight="1">
      <c r="A49" s="5">
        <f>IFERROR(__xludf.DUMMYFUNCTION("""COMPUTED_VALUE"""),210207.0)</f>
        <v>210207</v>
      </c>
      <c r="B49" s="5" t="str">
        <f>IFERROR(__xludf.DUMMYFUNCTION("""COMPUTED_VALUE"""),"坪井亮哉")</f>
        <v>坪井亮哉</v>
      </c>
      <c r="C49" s="5" t="str">
        <f>IFERROR(__xludf.DUMMYFUNCTION("""COMPUTED_VALUE"""),"つぼいりょうや")</f>
        <v>つぼいりょうや</v>
      </c>
      <c r="D49" s="5">
        <f>IFERROR(__xludf.DUMMYFUNCTION("""COMPUTED_VALUE"""),2.0)</f>
        <v>2</v>
      </c>
      <c r="E49" s="5" t="str">
        <f>IFERROR(__xludf.DUMMYFUNCTION("""COMPUTED_VALUE"""),"男")</f>
        <v>男</v>
      </c>
      <c r="F49" s="5" t="str">
        <f>IFERROR(__xludf.DUMMYFUNCTION("""COMPUTED_VALUE"""),"MUA")</f>
        <v>MUA</v>
      </c>
      <c r="G49" s="5" t="str">
        <f>IFERROR(__xludf.DUMMYFUNCTION("""COMPUTED_VALUE"""),"○出場")</f>
        <v>○出場</v>
      </c>
      <c r="H49" s="5"/>
      <c r="I49" s="5" t="str">
        <f>IFERROR(__xludf.DUMMYFUNCTION("""COMPUTED_VALUE"""),"○参加する")</f>
        <v>○参加する</v>
      </c>
      <c r="J49" s="5"/>
      <c r="K49" s="12">
        <f t="shared" si="2"/>
        <v>1</v>
      </c>
    </row>
    <row r="50" ht="19.5" customHeight="1">
      <c r="A50" s="5">
        <f>IFERROR(__xludf.DUMMYFUNCTION("""COMPUTED_VALUE"""),210208.0)</f>
        <v>210208</v>
      </c>
      <c r="B50" s="5" t="str">
        <f>IFERROR(__xludf.DUMMYFUNCTION("""COMPUTED_VALUE"""),"鯉渕竜大")</f>
        <v>鯉渕竜大</v>
      </c>
      <c r="C50" s="5" t="str">
        <f>IFERROR(__xludf.DUMMYFUNCTION("""COMPUTED_VALUE"""),"こいぶちりゅうだい")</f>
        <v>こいぶちりゅうだい</v>
      </c>
      <c r="D50" s="5">
        <f>IFERROR(__xludf.DUMMYFUNCTION("""COMPUTED_VALUE"""),2.0)</f>
        <v>2</v>
      </c>
      <c r="E50" s="5" t="str">
        <f>IFERROR(__xludf.DUMMYFUNCTION("""COMPUTED_VALUE"""),"男")</f>
        <v>男</v>
      </c>
      <c r="F50" s="5" t="str">
        <f>IFERROR(__xludf.DUMMYFUNCTION("""COMPUTED_VALUE"""),"×欠場")</f>
        <v>×欠場</v>
      </c>
      <c r="G50" s="5" t="str">
        <f>IFERROR(__xludf.DUMMYFUNCTION("""COMPUTED_VALUE"""),"×欠場")</f>
        <v>×欠場</v>
      </c>
      <c r="H50" s="5"/>
      <c r="I50" s="5" t="str">
        <f>IFERROR(__xludf.DUMMYFUNCTION("""COMPUTED_VALUE"""),"×参加しない")</f>
        <v>×参加しない</v>
      </c>
      <c r="J50" s="5"/>
      <c r="K50" s="12">
        <f t="shared" si="2"/>
        <v>0</v>
      </c>
    </row>
    <row r="51" ht="19.5" customHeight="1">
      <c r="A51" s="5">
        <f>IFERROR(__xludf.DUMMYFUNCTION("""COMPUTED_VALUE"""),210209.0)</f>
        <v>210209</v>
      </c>
      <c r="B51" s="5" t="str">
        <f>IFERROR(__xludf.DUMMYFUNCTION("""COMPUTED_VALUE"""),"平岡祐馬")</f>
        <v>平岡祐馬</v>
      </c>
      <c r="C51" s="5" t="str">
        <f>IFERROR(__xludf.DUMMYFUNCTION("""COMPUTED_VALUE"""),"ひらおかゆうま")</f>
        <v>ひらおかゆうま</v>
      </c>
      <c r="D51" s="5">
        <f>IFERROR(__xludf.DUMMYFUNCTION("""COMPUTED_VALUE"""),2.0)</f>
        <v>2</v>
      </c>
      <c r="E51" s="5" t="str">
        <f>IFERROR(__xludf.DUMMYFUNCTION("""COMPUTED_VALUE"""),"男")</f>
        <v>男</v>
      </c>
      <c r="F51" s="5" t="str">
        <f>IFERROR(__xludf.DUMMYFUNCTION("""COMPUTED_VALUE"""),"MUA")</f>
        <v>MUA</v>
      </c>
      <c r="G51" s="5" t="str">
        <f>IFERROR(__xludf.DUMMYFUNCTION("""COMPUTED_VALUE"""),"○出場")</f>
        <v>○出場</v>
      </c>
      <c r="H51" s="5">
        <f>IFERROR(__xludf.DUMMYFUNCTION("""COMPUTED_VALUE"""),249330.0)</f>
        <v>249330</v>
      </c>
      <c r="I51" s="5" t="str">
        <f>IFERROR(__xludf.DUMMYFUNCTION("""COMPUTED_VALUE"""),"○参加する")</f>
        <v>○参加する</v>
      </c>
      <c r="J51" s="5"/>
      <c r="K51" s="12">
        <f t="shared" si="2"/>
        <v>1</v>
      </c>
    </row>
    <row r="52" ht="19.5" customHeight="1">
      <c r="A52" s="5">
        <f>IFERROR(__xludf.DUMMYFUNCTION("""COMPUTED_VALUE"""),210213.0)</f>
        <v>210213</v>
      </c>
      <c r="B52" s="5" t="str">
        <f>IFERROR(__xludf.DUMMYFUNCTION("""COMPUTED_VALUE"""),"田邊優登")</f>
        <v>田邊優登</v>
      </c>
      <c r="C52" s="5" t="str">
        <f>IFERROR(__xludf.DUMMYFUNCTION("""COMPUTED_VALUE"""),"たなべゆうと")</f>
        <v>たなべゆうと</v>
      </c>
      <c r="D52" s="5">
        <f>IFERROR(__xludf.DUMMYFUNCTION("""COMPUTED_VALUE"""),2.0)</f>
        <v>2</v>
      </c>
      <c r="E52" s="5" t="str">
        <f>IFERROR(__xludf.DUMMYFUNCTION("""COMPUTED_VALUE"""),"男")</f>
        <v>男</v>
      </c>
      <c r="F52" s="5" t="str">
        <f>IFERROR(__xludf.DUMMYFUNCTION("""COMPUTED_VALUE"""),"×欠場")</f>
        <v>×欠場</v>
      </c>
      <c r="G52" s="5" t="str">
        <f>IFERROR(__xludf.DUMMYFUNCTION("""COMPUTED_VALUE"""),"×欠場")</f>
        <v>×欠場</v>
      </c>
      <c r="H52" s="5"/>
      <c r="I52" s="5" t="str">
        <f>IFERROR(__xludf.DUMMYFUNCTION("""COMPUTED_VALUE"""),"×参加しない")</f>
        <v>×参加しない</v>
      </c>
      <c r="J52" s="5"/>
      <c r="K52" s="12">
        <f t="shared" si="2"/>
        <v>0</v>
      </c>
    </row>
    <row r="53" ht="19.5" customHeight="1">
      <c r="A53" s="5">
        <f>IFERROR(__xludf.DUMMYFUNCTION("""COMPUTED_VALUE"""),210214.0)</f>
        <v>210214</v>
      </c>
      <c r="B53" s="5" t="str">
        <f>IFERROR(__xludf.DUMMYFUNCTION("""COMPUTED_VALUE"""),"世古　大介")</f>
        <v>世古　大介</v>
      </c>
      <c r="C53" s="5" t="str">
        <f>IFERROR(__xludf.DUMMYFUNCTION("""COMPUTED_VALUE"""),"せこ　だいすけ")</f>
        <v>せこ　だいすけ</v>
      </c>
      <c r="D53" s="5">
        <f>IFERROR(__xludf.DUMMYFUNCTION("""COMPUTED_VALUE"""),2.0)</f>
        <v>2</v>
      </c>
      <c r="E53" s="5" t="str">
        <f>IFERROR(__xludf.DUMMYFUNCTION("""COMPUTED_VALUE"""),"男")</f>
        <v>男</v>
      </c>
      <c r="F53" s="5" t="str">
        <f>IFERROR(__xludf.DUMMYFUNCTION("""COMPUTED_VALUE"""),"MUA")</f>
        <v>MUA</v>
      </c>
      <c r="G53" s="5" t="str">
        <f>IFERROR(__xludf.DUMMYFUNCTION("""COMPUTED_VALUE"""),"○出場")</f>
        <v>○出場</v>
      </c>
      <c r="H53" s="5">
        <f>IFERROR(__xludf.DUMMYFUNCTION("""COMPUTED_VALUE"""),515722.0)</f>
        <v>515722</v>
      </c>
      <c r="I53" s="5" t="str">
        <f>IFERROR(__xludf.DUMMYFUNCTION("""COMPUTED_VALUE"""),"○参加する")</f>
        <v>○参加する</v>
      </c>
      <c r="J53" s="5"/>
      <c r="K53" s="12">
        <f t="shared" si="2"/>
        <v>1</v>
      </c>
    </row>
    <row r="54" ht="19.5" customHeight="1">
      <c r="A54" s="5">
        <f>IFERROR(__xludf.DUMMYFUNCTION("""COMPUTED_VALUE"""),210215.0)</f>
        <v>210215</v>
      </c>
      <c r="B54" s="5" t="str">
        <f>IFERROR(__xludf.DUMMYFUNCTION("""COMPUTED_VALUE"""),"上川名琉人")</f>
        <v>上川名琉人</v>
      </c>
      <c r="C54" s="5" t="str">
        <f>IFERROR(__xludf.DUMMYFUNCTION("""COMPUTED_VALUE"""),"かみかわなりゅうと")</f>
        <v>かみかわなりゅうと</v>
      </c>
      <c r="D54" s="5">
        <f>IFERROR(__xludf.DUMMYFUNCTION("""COMPUTED_VALUE"""),2.0)</f>
        <v>2</v>
      </c>
      <c r="E54" s="5" t="str">
        <f>IFERROR(__xludf.DUMMYFUNCTION("""COMPUTED_VALUE"""),"男")</f>
        <v>男</v>
      </c>
      <c r="F54" s="5" t="str">
        <f>IFERROR(__xludf.DUMMYFUNCTION("""COMPUTED_VALUE"""),"MUB")</f>
        <v>MUB</v>
      </c>
      <c r="G54" s="5" t="str">
        <f>IFERROR(__xludf.DUMMYFUNCTION("""COMPUTED_VALUE"""),"○出場")</f>
        <v>○出場</v>
      </c>
      <c r="H54" s="5">
        <f>IFERROR(__xludf.DUMMYFUNCTION("""COMPUTED_VALUE"""),515813.0)</f>
        <v>515813</v>
      </c>
      <c r="I54" s="5" t="str">
        <f>IFERROR(__xludf.DUMMYFUNCTION("""COMPUTED_VALUE"""),"○参加する")</f>
        <v>○参加する</v>
      </c>
      <c r="J54" s="5"/>
      <c r="K54" s="12">
        <f t="shared" si="2"/>
        <v>1</v>
      </c>
    </row>
    <row r="55" ht="19.5" customHeight="1">
      <c r="A55" s="5">
        <f>IFERROR(__xludf.DUMMYFUNCTION("""COMPUTED_VALUE"""),210216.0)</f>
        <v>210216</v>
      </c>
      <c r="B55" s="5" t="str">
        <f>IFERROR(__xludf.DUMMYFUNCTION("""COMPUTED_VALUE"""),"吉崎圭哉")</f>
        <v>吉崎圭哉</v>
      </c>
      <c r="C55" s="5" t="str">
        <f>IFERROR(__xludf.DUMMYFUNCTION("""COMPUTED_VALUE"""),"よしざきけいや")</f>
        <v>よしざきけいや</v>
      </c>
      <c r="D55" s="5">
        <f>IFERROR(__xludf.DUMMYFUNCTION("""COMPUTED_VALUE"""),2.0)</f>
        <v>2</v>
      </c>
      <c r="E55" s="5" t="str">
        <f>IFERROR(__xludf.DUMMYFUNCTION("""COMPUTED_VALUE"""),"男")</f>
        <v>男</v>
      </c>
      <c r="F55" s="5" t="str">
        <f>IFERROR(__xludf.DUMMYFUNCTION("""COMPUTED_VALUE"""),"×欠場")</f>
        <v>×欠場</v>
      </c>
      <c r="G55" s="5" t="str">
        <f>IFERROR(__xludf.DUMMYFUNCTION("""COMPUTED_VALUE"""),"×欠場")</f>
        <v>×欠場</v>
      </c>
      <c r="H55" s="5"/>
      <c r="I55" s="5" t="str">
        <f>IFERROR(__xludf.DUMMYFUNCTION("""COMPUTED_VALUE"""),"×参加しない")</f>
        <v>×参加しない</v>
      </c>
      <c r="J55" s="5"/>
      <c r="K55" s="12">
        <f t="shared" si="2"/>
        <v>0</v>
      </c>
    </row>
    <row r="56" ht="19.5" customHeight="1">
      <c r="A56" s="5">
        <f>IFERROR(__xludf.DUMMYFUNCTION("""COMPUTED_VALUE"""),210217.0)</f>
        <v>210217</v>
      </c>
      <c r="B56" s="5" t="str">
        <f>IFERROR(__xludf.DUMMYFUNCTION("""COMPUTED_VALUE"""),"宮澤晃永")</f>
        <v>宮澤晃永</v>
      </c>
      <c r="C56" s="5" t="str">
        <f>IFERROR(__xludf.DUMMYFUNCTION("""COMPUTED_VALUE"""),"みやざわ　あきのぶ")</f>
        <v>みやざわ　あきのぶ</v>
      </c>
      <c r="D56" s="5">
        <f>IFERROR(__xludf.DUMMYFUNCTION("""COMPUTED_VALUE"""),2.0)</f>
        <v>2</v>
      </c>
      <c r="E56" s="5" t="str">
        <f>IFERROR(__xludf.DUMMYFUNCTION("""COMPUTED_VALUE"""),"男")</f>
        <v>男</v>
      </c>
      <c r="F56" s="5" t="str">
        <f>IFERROR(__xludf.DUMMYFUNCTION("""COMPUTED_VALUE"""),"MUA")</f>
        <v>MUA</v>
      </c>
      <c r="G56" s="5" t="str">
        <f>IFERROR(__xludf.DUMMYFUNCTION("""COMPUTED_VALUE"""),"○出場")</f>
        <v>○出場</v>
      </c>
      <c r="H56" s="5">
        <f>IFERROR(__xludf.DUMMYFUNCTION("""COMPUTED_VALUE"""),261217.0)</f>
        <v>261217</v>
      </c>
      <c r="I56" s="5" t="str">
        <f>IFERROR(__xludf.DUMMYFUNCTION("""COMPUTED_VALUE"""),"○参加する")</f>
        <v>○参加する</v>
      </c>
      <c r="J56" s="5"/>
      <c r="K56" s="12">
        <f t="shared" si="2"/>
        <v>1</v>
      </c>
    </row>
    <row r="57" ht="19.5" customHeight="1">
      <c r="A57" s="5">
        <f>IFERROR(__xludf.DUMMYFUNCTION("""COMPUTED_VALUE"""),210218.0)</f>
        <v>210218</v>
      </c>
      <c r="B57" s="5" t="str">
        <f>IFERROR(__xludf.DUMMYFUNCTION("""COMPUTED_VALUE"""),"佐々木崇成")</f>
        <v>佐々木崇成</v>
      </c>
      <c r="C57" s="5" t="str">
        <f>IFERROR(__xludf.DUMMYFUNCTION("""COMPUTED_VALUE"""),"ささきたかなり")</f>
        <v>ささきたかなり</v>
      </c>
      <c r="D57" s="5">
        <f>IFERROR(__xludf.DUMMYFUNCTION("""COMPUTED_VALUE"""),2.0)</f>
        <v>2</v>
      </c>
      <c r="E57" s="5" t="str">
        <f>IFERROR(__xludf.DUMMYFUNCTION("""COMPUTED_VALUE"""),"男")</f>
        <v>男</v>
      </c>
      <c r="F57" s="5" t="str">
        <f>IFERROR(__xludf.DUMMYFUNCTION("""COMPUTED_VALUE"""),"×欠場")</f>
        <v>×欠場</v>
      </c>
      <c r="G57" s="5" t="str">
        <f>IFERROR(__xludf.DUMMYFUNCTION("""COMPUTED_VALUE"""),"×欠場")</f>
        <v>×欠場</v>
      </c>
      <c r="H57" s="5"/>
      <c r="I57" s="5" t="str">
        <f>IFERROR(__xludf.DUMMYFUNCTION("""COMPUTED_VALUE"""),"×参加しない")</f>
        <v>×参加しない</v>
      </c>
      <c r="J57" s="5"/>
      <c r="K57" s="12">
        <f t="shared" si="2"/>
        <v>0</v>
      </c>
    </row>
    <row r="58" ht="19.5" customHeight="1">
      <c r="A58" s="5">
        <f>IFERROR(__xludf.DUMMYFUNCTION("""COMPUTED_VALUE"""),210219.0)</f>
        <v>210219</v>
      </c>
      <c r="B58" s="5" t="str">
        <f>IFERROR(__xludf.DUMMYFUNCTION("""COMPUTED_VALUE"""),"久保田結理")</f>
        <v>久保田結理</v>
      </c>
      <c r="C58" s="5" t="str">
        <f>IFERROR(__xludf.DUMMYFUNCTION("""COMPUTED_VALUE"""),"くぼたゆり")</f>
        <v>くぼたゆり</v>
      </c>
      <c r="D58" s="5">
        <f>IFERROR(__xludf.DUMMYFUNCTION("""COMPUTED_VALUE"""),2.0)</f>
        <v>2</v>
      </c>
      <c r="E58" s="5" t="str">
        <f>IFERROR(__xludf.DUMMYFUNCTION("""COMPUTED_VALUE"""),"女")</f>
        <v>女</v>
      </c>
      <c r="F58" s="5" t="str">
        <f>IFERROR(__xludf.DUMMYFUNCTION("""COMPUTED_VALUE"""),"WUA")</f>
        <v>WUA</v>
      </c>
      <c r="G58" s="5" t="str">
        <f>IFERROR(__xludf.DUMMYFUNCTION("""COMPUTED_VALUE"""),"○出場")</f>
        <v>○出場</v>
      </c>
      <c r="H58" s="5">
        <f>IFERROR(__xludf.DUMMYFUNCTION("""COMPUTED_VALUE"""),266153.0)</f>
        <v>266153</v>
      </c>
      <c r="I58" s="5" t="str">
        <f>IFERROR(__xludf.DUMMYFUNCTION("""COMPUTED_VALUE"""),"×参加しない")</f>
        <v>×参加しない</v>
      </c>
      <c r="J58" s="5"/>
      <c r="K58" s="12">
        <f t="shared" si="2"/>
        <v>1</v>
      </c>
    </row>
    <row r="59" ht="19.5" customHeight="1">
      <c r="A59" s="5">
        <f>IFERROR(__xludf.DUMMYFUNCTION("""COMPUTED_VALUE"""),210220.0)</f>
        <v>210220</v>
      </c>
      <c r="B59" s="5" t="str">
        <f>IFERROR(__xludf.DUMMYFUNCTION("""COMPUTED_VALUE"""),"廣江綿文")</f>
        <v>廣江綿文</v>
      </c>
      <c r="C59" s="5" t="str">
        <f>IFERROR(__xludf.DUMMYFUNCTION("""COMPUTED_VALUE"""),"ひろえわたふみ")</f>
        <v>ひろえわたふみ</v>
      </c>
      <c r="D59" s="5">
        <f>IFERROR(__xludf.DUMMYFUNCTION("""COMPUTED_VALUE"""),2.0)</f>
        <v>2</v>
      </c>
      <c r="E59" s="5" t="str">
        <f>IFERROR(__xludf.DUMMYFUNCTION("""COMPUTED_VALUE"""),"男")</f>
        <v>男</v>
      </c>
      <c r="F59" s="5" t="str">
        <f>IFERROR(__xludf.DUMMYFUNCTION("""COMPUTED_VALUE"""),"×欠場")</f>
        <v>×欠場</v>
      </c>
      <c r="G59" s="5" t="str">
        <f>IFERROR(__xludf.DUMMYFUNCTION("""COMPUTED_VALUE"""),"×欠場")</f>
        <v>×欠場</v>
      </c>
      <c r="H59" s="5"/>
      <c r="I59" s="5" t="str">
        <f>IFERROR(__xludf.DUMMYFUNCTION("""COMPUTED_VALUE"""),"×参加しない")</f>
        <v>×参加しない</v>
      </c>
      <c r="J59" s="5"/>
      <c r="K59" s="12">
        <f t="shared" si="2"/>
        <v>0</v>
      </c>
    </row>
    <row r="60" ht="19.5" customHeight="1">
      <c r="A60" s="5">
        <f>IFERROR(__xludf.DUMMYFUNCTION("""COMPUTED_VALUE"""),210221.0)</f>
        <v>210221</v>
      </c>
      <c r="B60" s="5" t="str">
        <f>IFERROR(__xludf.DUMMYFUNCTION("""COMPUTED_VALUE"""),"古角　海志")</f>
        <v>古角　海志</v>
      </c>
      <c r="C60" s="5" t="str">
        <f>IFERROR(__xludf.DUMMYFUNCTION("""COMPUTED_VALUE"""),"ふるかど　かいじ")</f>
        <v>ふるかど　かいじ</v>
      </c>
      <c r="D60" s="5">
        <f>IFERROR(__xludf.DUMMYFUNCTION("""COMPUTED_VALUE"""),2.0)</f>
        <v>2</v>
      </c>
      <c r="E60" s="5" t="str">
        <f>IFERROR(__xludf.DUMMYFUNCTION("""COMPUTED_VALUE"""),"男")</f>
        <v>男</v>
      </c>
      <c r="F60" s="5" t="str">
        <f>IFERROR(__xludf.DUMMYFUNCTION("""COMPUTED_VALUE"""),"MUA")</f>
        <v>MUA</v>
      </c>
      <c r="G60" s="5" t="str">
        <f>IFERROR(__xludf.DUMMYFUNCTION("""COMPUTED_VALUE"""),"○出場")</f>
        <v>○出場</v>
      </c>
      <c r="H60" s="5">
        <f>IFERROR(__xludf.DUMMYFUNCTION("""COMPUTED_VALUE"""),249334.0)</f>
        <v>249334</v>
      </c>
      <c r="I60" s="5" t="str">
        <f>IFERROR(__xludf.DUMMYFUNCTION("""COMPUTED_VALUE"""),"○参加する")</f>
        <v>○参加する</v>
      </c>
      <c r="J60" s="5"/>
      <c r="K60" s="12">
        <f t="shared" si="2"/>
        <v>1</v>
      </c>
    </row>
    <row r="61" ht="19.5" customHeight="1">
      <c r="A61" s="5">
        <f>IFERROR(__xludf.DUMMYFUNCTION("""COMPUTED_VALUE"""),210222.0)</f>
        <v>210222</v>
      </c>
      <c r="B61" s="5" t="str">
        <f>IFERROR(__xludf.DUMMYFUNCTION("""COMPUTED_VALUE"""),"茶谷太郎")</f>
        <v>茶谷太郎</v>
      </c>
      <c r="C61" s="5" t="str">
        <f>IFERROR(__xludf.DUMMYFUNCTION("""COMPUTED_VALUE"""),"ちゃやたろう")</f>
        <v>ちゃやたろう</v>
      </c>
      <c r="D61" s="5">
        <f>IFERROR(__xludf.DUMMYFUNCTION("""COMPUTED_VALUE"""),2.0)</f>
        <v>2</v>
      </c>
      <c r="E61" s="5" t="str">
        <f>IFERROR(__xludf.DUMMYFUNCTION("""COMPUTED_VALUE"""),"男")</f>
        <v>男</v>
      </c>
      <c r="F61" s="5" t="str">
        <f>IFERROR(__xludf.DUMMYFUNCTION("""COMPUTED_VALUE"""),"MUA")</f>
        <v>MUA</v>
      </c>
      <c r="G61" s="5" t="str">
        <f>IFERROR(__xludf.DUMMYFUNCTION("""COMPUTED_VALUE"""),"○出場")</f>
        <v>○出場</v>
      </c>
      <c r="H61" s="5">
        <f>IFERROR(__xludf.DUMMYFUNCTION("""COMPUTED_VALUE"""),518390.0)</f>
        <v>518390</v>
      </c>
      <c r="I61" s="5" t="str">
        <f>IFERROR(__xludf.DUMMYFUNCTION("""COMPUTED_VALUE"""),"○参加する")</f>
        <v>○参加する</v>
      </c>
      <c r="J61" s="5"/>
      <c r="K61" s="12">
        <f t="shared" si="2"/>
        <v>1</v>
      </c>
    </row>
    <row r="62" ht="19.5" customHeight="1">
      <c r="A62" s="5">
        <f>IFERROR(__xludf.DUMMYFUNCTION("""COMPUTED_VALUE"""),210223.0)</f>
        <v>210223</v>
      </c>
      <c r="B62" s="5" t="str">
        <f>IFERROR(__xludf.DUMMYFUNCTION("""COMPUTED_VALUE"""),"山田和輝")</f>
        <v>山田和輝</v>
      </c>
      <c r="C62" s="5" t="str">
        <f>IFERROR(__xludf.DUMMYFUNCTION("""COMPUTED_VALUE"""),"やまだかずき")</f>
        <v>やまだかずき</v>
      </c>
      <c r="D62" s="5">
        <f>IFERROR(__xludf.DUMMYFUNCTION("""COMPUTED_VALUE"""),2.0)</f>
        <v>2</v>
      </c>
      <c r="E62" s="5" t="str">
        <f>IFERROR(__xludf.DUMMYFUNCTION("""COMPUTED_VALUE"""),"男")</f>
        <v>男</v>
      </c>
      <c r="F62" s="5" t="str">
        <f>IFERROR(__xludf.DUMMYFUNCTION("""COMPUTED_VALUE"""),"MUA")</f>
        <v>MUA</v>
      </c>
      <c r="G62" s="5" t="str">
        <f>IFERROR(__xludf.DUMMYFUNCTION("""COMPUTED_VALUE"""),"○出場")</f>
        <v>○出場</v>
      </c>
      <c r="H62" s="5">
        <f>IFERROR(__xludf.DUMMYFUNCTION("""COMPUTED_VALUE"""),249325.0)</f>
        <v>249325</v>
      </c>
      <c r="I62" s="5" t="str">
        <f>IFERROR(__xludf.DUMMYFUNCTION("""COMPUTED_VALUE"""),"○参加する")</f>
        <v>○参加する</v>
      </c>
      <c r="J62" s="5"/>
      <c r="K62" s="12">
        <f t="shared" si="2"/>
        <v>1</v>
      </c>
    </row>
    <row r="63" ht="19.5" customHeight="1">
      <c r="A63" s="5">
        <f>IFERROR(__xludf.DUMMYFUNCTION("""COMPUTED_VALUE"""),210224.0)</f>
        <v>210224</v>
      </c>
      <c r="B63" s="5" t="str">
        <f>IFERROR(__xludf.DUMMYFUNCTION("""COMPUTED_VALUE"""),"澤田 紘希")</f>
        <v>澤田 紘希</v>
      </c>
      <c r="C63" s="5" t="str">
        <f>IFERROR(__xludf.DUMMYFUNCTION("""COMPUTED_VALUE"""),"さわだ ひろき")</f>
        <v>さわだ ひろき</v>
      </c>
      <c r="D63" s="5">
        <f>IFERROR(__xludf.DUMMYFUNCTION("""COMPUTED_VALUE"""),2.0)</f>
        <v>2</v>
      </c>
      <c r="E63" s="5" t="str">
        <f>IFERROR(__xludf.DUMMYFUNCTION("""COMPUTED_VALUE"""),"男")</f>
        <v>男</v>
      </c>
      <c r="F63" s="5" t="str">
        <f>IFERROR(__xludf.DUMMYFUNCTION("""COMPUTED_VALUE"""),"×欠場")</f>
        <v>×欠場</v>
      </c>
      <c r="G63" s="5" t="str">
        <f>IFERROR(__xludf.DUMMYFUNCTION("""COMPUTED_VALUE"""),"×欠場")</f>
        <v>×欠場</v>
      </c>
      <c r="H63" s="5"/>
      <c r="I63" s="5" t="str">
        <f>IFERROR(__xludf.DUMMYFUNCTION("""COMPUTED_VALUE"""),"○参加する")</f>
        <v>○参加する</v>
      </c>
      <c r="J63" s="5"/>
      <c r="K63" s="12">
        <f t="shared" si="2"/>
        <v>0</v>
      </c>
    </row>
    <row r="64" ht="19.5" customHeight="1">
      <c r="A64" s="5">
        <f>IFERROR(__xludf.DUMMYFUNCTION("""COMPUTED_VALUE"""),210225.0)</f>
        <v>210225</v>
      </c>
      <c r="B64" s="5" t="str">
        <f>IFERROR(__xludf.DUMMYFUNCTION("""COMPUTED_VALUE"""),"清水快")</f>
        <v>清水快</v>
      </c>
      <c r="C64" s="5" t="str">
        <f>IFERROR(__xludf.DUMMYFUNCTION("""COMPUTED_VALUE"""),"しみず かい")</f>
        <v>しみず かい</v>
      </c>
      <c r="D64" s="5">
        <f>IFERROR(__xludf.DUMMYFUNCTION("""COMPUTED_VALUE"""),2.0)</f>
        <v>2</v>
      </c>
      <c r="E64" s="5" t="str">
        <f>IFERROR(__xludf.DUMMYFUNCTION("""COMPUTED_VALUE"""),"男")</f>
        <v>男</v>
      </c>
      <c r="F64" s="5" t="str">
        <f>IFERROR(__xludf.DUMMYFUNCTION("""COMPUTED_VALUE"""),"×欠場")</f>
        <v>×欠場</v>
      </c>
      <c r="G64" s="5" t="str">
        <f>IFERROR(__xludf.DUMMYFUNCTION("""COMPUTED_VALUE"""),"×欠場")</f>
        <v>×欠場</v>
      </c>
      <c r="H64" s="5"/>
      <c r="I64" s="5" t="str">
        <f>IFERROR(__xludf.DUMMYFUNCTION("""COMPUTED_VALUE"""),"×参加しない")</f>
        <v>×参加しない</v>
      </c>
      <c r="J64" s="5"/>
      <c r="K64" s="12">
        <f t="shared" si="2"/>
        <v>0</v>
      </c>
    </row>
    <row r="65" ht="19.5" customHeight="1">
      <c r="A65" s="5">
        <f>IFERROR(__xludf.DUMMYFUNCTION("""COMPUTED_VALUE"""),210226.0)</f>
        <v>210226</v>
      </c>
      <c r="B65" s="5" t="str">
        <f>IFERROR(__xludf.DUMMYFUNCTION("""COMPUTED_VALUE"""),"鈴木悠太")</f>
        <v>鈴木悠太</v>
      </c>
      <c r="C65" s="5" t="str">
        <f>IFERROR(__xludf.DUMMYFUNCTION("""COMPUTED_VALUE"""),"すずきゆうた")</f>
        <v>すずきゆうた</v>
      </c>
      <c r="D65" s="5">
        <f>IFERROR(__xludf.DUMMYFUNCTION("""COMPUTED_VALUE"""),2.0)</f>
        <v>2</v>
      </c>
      <c r="E65" s="5" t="str">
        <f>IFERROR(__xludf.DUMMYFUNCTION("""COMPUTED_VALUE"""),"男")</f>
        <v>男</v>
      </c>
      <c r="F65" s="5" t="str">
        <f>IFERROR(__xludf.DUMMYFUNCTION("""COMPUTED_VALUE"""),"MUA")</f>
        <v>MUA</v>
      </c>
      <c r="G65" s="5" t="str">
        <f>IFERROR(__xludf.DUMMYFUNCTION("""COMPUTED_VALUE"""),"○出場")</f>
        <v>○出場</v>
      </c>
      <c r="H65" s="5">
        <f>IFERROR(__xludf.DUMMYFUNCTION("""COMPUTED_VALUE"""),270407.0)</f>
        <v>270407</v>
      </c>
      <c r="I65" s="5" t="str">
        <f>IFERROR(__xludf.DUMMYFUNCTION("""COMPUTED_VALUE"""),"○参加する")</f>
        <v>○参加する</v>
      </c>
      <c r="J65" s="5"/>
      <c r="K65" s="12">
        <f t="shared" si="2"/>
        <v>1</v>
      </c>
    </row>
    <row r="66" ht="19.5" customHeight="1">
      <c r="A66" s="5">
        <f>IFERROR(__xludf.DUMMYFUNCTION("""COMPUTED_VALUE"""),210227.0)</f>
        <v>210227</v>
      </c>
      <c r="B66" s="5" t="str">
        <f>IFERROR(__xludf.DUMMYFUNCTION("""COMPUTED_VALUE"""),"関滉太")</f>
        <v>関滉太</v>
      </c>
      <c r="C66" s="5" t="str">
        <f>IFERROR(__xludf.DUMMYFUNCTION("""COMPUTED_VALUE"""),"せきこうた")</f>
        <v>せきこうた</v>
      </c>
      <c r="D66" s="5">
        <f>IFERROR(__xludf.DUMMYFUNCTION("""COMPUTED_VALUE"""),2.0)</f>
        <v>2</v>
      </c>
      <c r="E66" s="5" t="str">
        <f>IFERROR(__xludf.DUMMYFUNCTION("""COMPUTED_VALUE"""),"男")</f>
        <v>男</v>
      </c>
      <c r="F66" s="5" t="str">
        <f>IFERROR(__xludf.DUMMYFUNCTION("""COMPUTED_VALUE"""),"×欠場")</f>
        <v>×欠場</v>
      </c>
      <c r="G66" s="5" t="str">
        <f>IFERROR(__xludf.DUMMYFUNCTION("""COMPUTED_VALUE"""),"×欠場")</f>
        <v>×欠場</v>
      </c>
      <c r="H66" s="5"/>
      <c r="I66" s="5" t="str">
        <f>IFERROR(__xludf.DUMMYFUNCTION("""COMPUTED_VALUE"""),"×参加しない")</f>
        <v>×参加しない</v>
      </c>
      <c r="J66" s="5"/>
      <c r="K66" s="12">
        <f t="shared" si="2"/>
        <v>0</v>
      </c>
    </row>
    <row r="67" ht="19.5" customHeight="1">
      <c r="A67" s="5">
        <f>IFERROR(__xludf.DUMMYFUNCTION("""COMPUTED_VALUE"""),210229.0)</f>
        <v>210229</v>
      </c>
      <c r="B67" s="5" t="str">
        <f>IFERROR(__xludf.DUMMYFUNCTION("""COMPUTED_VALUE"""),"酒井敬吾")</f>
        <v>酒井敬吾</v>
      </c>
      <c r="C67" s="5" t="str">
        <f>IFERROR(__xludf.DUMMYFUNCTION("""COMPUTED_VALUE"""),"さかいけいご")</f>
        <v>さかいけいご</v>
      </c>
      <c r="D67" s="5">
        <f>IFERROR(__xludf.DUMMYFUNCTION("""COMPUTED_VALUE"""),2.0)</f>
        <v>2</v>
      </c>
      <c r="E67" s="5" t="str">
        <f>IFERROR(__xludf.DUMMYFUNCTION("""COMPUTED_VALUE"""),"男")</f>
        <v>男</v>
      </c>
      <c r="F67" s="5" t="str">
        <f>IFERROR(__xludf.DUMMYFUNCTION("""COMPUTED_VALUE"""),"MUA")</f>
        <v>MUA</v>
      </c>
      <c r="G67" s="5" t="str">
        <f>IFERROR(__xludf.DUMMYFUNCTION("""COMPUTED_VALUE"""),"○出場")</f>
        <v>○出場</v>
      </c>
      <c r="H67" s="5">
        <f>IFERROR(__xludf.DUMMYFUNCTION("""COMPUTED_VALUE"""),270399.0)</f>
        <v>270399</v>
      </c>
      <c r="I67" s="5" t="str">
        <f>IFERROR(__xludf.DUMMYFUNCTION("""COMPUTED_VALUE"""),"○参加する")</f>
        <v>○参加する</v>
      </c>
      <c r="J67" s="5"/>
      <c r="K67" s="12">
        <f t="shared" si="2"/>
        <v>1</v>
      </c>
    </row>
    <row r="68" ht="19.5" customHeight="1">
      <c r="A68" s="5">
        <f>IFERROR(__xludf.DUMMYFUNCTION("""COMPUTED_VALUE"""),210230.0)</f>
        <v>210230</v>
      </c>
      <c r="B68" s="5" t="str">
        <f>IFERROR(__xludf.DUMMYFUNCTION("""COMPUTED_VALUE"""),"領内悠真")</f>
        <v>領内悠真</v>
      </c>
      <c r="C68" s="5" t="str">
        <f>IFERROR(__xludf.DUMMYFUNCTION("""COMPUTED_VALUE"""),"りょうないゆうま")</f>
        <v>りょうないゆうま</v>
      </c>
      <c r="D68" s="5">
        <f>IFERROR(__xludf.DUMMYFUNCTION("""COMPUTED_VALUE"""),2.0)</f>
        <v>2</v>
      </c>
      <c r="E68" s="5" t="str">
        <f>IFERROR(__xludf.DUMMYFUNCTION("""COMPUTED_VALUE"""),"男")</f>
        <v>男</v>
      </c>
      <c r="F68" s="5" t="str">
        <f>IFERROR(__xludf.DUMMYFUNCTION("""COMPUTED_VALUE"""),"×欠場")</f>
        <v>×欠場</v>
      </c>
      <c r="G68" s="5" t="str">
        <f>IFERROR(__xludf.DUMMYFUNCTION("""COMPUTED_VALUE"""),"×欠場")</f>
        <v>×欠場</v>
      </c>
      <c r="H68" s="5"/>
      <c r="I68" s="5" t="str">
        <f>IFERROR(__xludf.DUMMYFUNCTION("""COMPUTED_VALUE"""),"×参加しない")</f>
        <v>×参加しない</v>
      </c>
      <c r="J68" s="5"/>
      <c r="K68" s="12">
        <f t="shared" si="2"/>
        <v>0</v>
      </c>
    </row>
    <row r="69" ht="19.5" customHeight="1">
      <c r="A69" s="5">
        <f>IFERROR(__xludf.DUMMYFUNCTION("""COMPUTED_VALUE"""),210231.0)</f>
        <v>210231</v>
      </c>
      <c r="B69" s="5" t="str">
        <f>IFERROR(__xludf.DUMMYFUNCTION("""COMPUTED_VALUE"""),"荻野友希")</f>
        <v>荻野友希</v>
      </c>
      <c r="C69" s="5" t="str">
        <f>IFERROR(__xludf.DUMMYFUNCTION("""COMPUTED_VALUE"""),"おぎのともき")</f>
        <v>おぎのともき</v>
      </c>
      <c r="D69" s="5">
        <f>IFERROR(__xludf.DUMMYFUNCTION("""COMPUTED_VALUE"""),2.0)</f>
        <v>2</v>
      </c>
      <c r="E69" s="5" t="str">
        <f>IFERROR(__xludf.DUMMYFUNCTION("""COMPUTED_VALUE"""),"男")</f>
        <v>男</v>
      </c>
      <c r="F69" s="5" t="str">
        <f>IFERROR(__xludf.DUMMYFUNCTION("""COMPUTED_VALUE"""),"MUA")</f>
        <v>MUA</v>
      </c>
      <c r="G69" s="5" t="str">
        <f>IFERROR(__xludf.DUMMYFUNCTION("""COMPUTED_VALUE"""),"○出場")</f>
        <v>○出場</v>
      </c>
      <c r="H69" s="5">
        <f>IFERROR(__xludf.DUMMYFUNCTION("""COMPUTED_VALUE"""),261205.0)</f>
        <v>261205</v>
      </c>
      <c r="I69" s="5" t="str">
        <f>IFERROR(__xludf.DUMMYFUNCTION("""COMPUTED_VALUE"""),"○参加する")</f>
        <v>○参加する</v>
      </c>
      <c r="J69" s="5"/>
      <c r="K69" s="12">
        <f t="shared" si="2"/>
        <v>1</v>
      </c>
    </row>
    <row r="70" ht="19.5" customHeight="1">
      <c r="A70" s="5">
        <f>IFERROR(__xludf.DUMMYFUNCTION("""COMPUTED_VALUE"""),210232.0)</f>
        <v>210232</v>
      </c>
      <c r="B70" s="5" t="str">
        <f>IFERROR(__xludf.DUMMYFUNCTION("""COMPUTED_VALUE"""),"西澤汰知")</f>
        <v>西澤汰知</v>
      </c>
      <c r="C70" s="5" t="str">
        <f>IFERROR(__xludf.DUMMYFUNCTION("""COMPUTED_VALUE"""),"にしざわたいち")</f>
        <v>にしざわたいち</v>
      </c>
      <c r="D70" s="5">
        <f>IFERROR(__xludf.DUMMYFUNCTION("""COMPUTED_VALUE"""),2.0)</f>
        <v>2</v>
      </c>
      <c r="E70" s="5" t="str">
        <f>IFERROR(__xludf.DUMMYFUNCTION("""COMPUTED_VALUE"""),"男")</f>
        <v>男</v>
      </c>
      <c r="F70" s="5" t="str">
        <f>IFERROR(__xludf.DUMMYFUNCTION("""COMPUTED_VALUE"""),"MUA")</f>
        <v>MUA</v>
      </c>
      <c r="G70" s="5" t="str">
        <f>IFERROR(__xludf.DUMMYFUNCTION("""COMPUTED_VALUE"""),"○出場")</f>
        <v>○出場</v>
      </c>
      <c r="H70" s="5">
        <f>IFERROR(__xludf.DUMMYFUNCTION("""COMPUTED_VALUE"""),249341.0)</f>
        <v>249341</v>
      </c>
      <c r="I70" s="5" t="str">
        <f>IFERROR(__xludf.DUMMYFUNCTION("""COMPUTED_VALUE"""),"○参加する")</f>
        <v>○参加する</v>
      </c>
      <c r="J70" s="5"/>
      <c r="K70" s="12">
        <f t="shared" si="2"/>
        <v>1</v>
      </c>
    </row>
    <row r="71" ht="19.5" customHeight="1">
      <c r="A71" s="5">
        <f>IFERROR(__xludf.DUMMYFUNCTION("""COMPUTED_VALUE"""),210233.0)</f>
        <v>210233</v>
      </c>
      <c r="B71" s="5" t="str">
        <f>IFERROR(__xludf.DUMMYFUNCTION("""COMPUTED_VALUE"""),"中野啓太")</f>
        <v>中野啓太</v>
      </c>
      <c r="C71" s="5" t="str">
        <f>IFERROR(__xludf.DUMMYFUNCTION("""COMPUTED_VALUE"""),"なかのけいた")</f>
        <v>なかのけいた</v>
      </c>
      <c r="D71" s="5">
        <f>IFERROR(__xludf.DUMMYFUNCTION("""COMPUTED_VALUE"""),2.0)</f>
        <v>2</v>
      </c>
      <c r="E71" s="5" t="str">
        <f>IFERROR(__xludf.DUMMYFUNCTION("""COMPUTED_VALUE"""),"男")</f>
        <v>男</v>
      </c>
      <c r="F71" s="5" t="str">
        <f>IFERROR(__xludf.DUMMYFUNCTION("""COMPUTED_VALUE"""),"MUA")</f>
        <v>MUA</v>
      </c>
      <c r="G71" s="5" t="str">
        <f>IFERROR(__xludf.DUMMYFUNCTION("""COMPUTED_VALUE"""),"○出場")</f>
        <v>○出場</v>
      </c>
      <c r="H71" s="5">
        <f>IFERROR(__xludf.DUMMYFUNCTION("""COMPUTED_VALUE"""),261204.0)</f>
        <v>261204</v>
      </c>
      <c r="I71" s="5" t="str">
        <f>IFERROR(__xludf.DUMMYFUNCTION("""COMPUTED_VALUE"""),"○参加する")</f>
        <v>○参加する</v>
      </c>
      <c r="J71" s="5"/>
      <c r="K71" s="12">
        <f t="shared" si="2"/>
        <v>1</v>
      </c>
    </row>
    <row r="72" ht="19.5" customHeight="1">
      <c r="A72" s="5">
        <f>IFERROR(__xludf.DUMMYFUNCTION("""COMPUTED_VALUE"""),210234.0)</f>
        <v>210234</v>
      </c>
      <c r="B72" s="5" t="str">
        <f>IFERROR(__xludf.DUMMYFUNCTION("""COMPUTED_VALUE"""),"泉谷光紀")</f>
        <v>泉谷光紀</v>
      </c>
      <c r="C72" s="5" t="str">
        <f>IFERROR(__xludf.DUMMYFUNCTION("""COMPUTED_VALUE"""),"いずみやこうき")</f>
        <v>いずみやこうき</v>
      </c>
      <c r="D72" s="5">
        <f>IFERROR(__xludf.DUMMYFUNCTION("""COMPUTED_VALUE"""),2.0)</f>
        <v>2</v>
      </c>
      <c r="E72" s="5" t="str">
        <f>IFERROR(__xludf.DUMMYFUNCTION("""COMPUTED_VALUE"""),"男")</f>
        <v>男</v>
      </c>
      <c r="F72" s="5" t="str">
        <f>IFERROR(__xludf.DUMMYFUNCTION("""COMPUTED_VALUE"""),"MUA")</f>
        <v>MUA</v>
      </c>
      <c r="G72" s="5" t="str">
        <f>IFERROR(__xludf.DUMMYFUNCTION("""COMPUTED_VALUE"""),"○出場")</f>
        <v>○出場</v>
      </c>
      <c r="H72" s="5">
        <f>IFERROR(__xludf.DUMMYFUNCTION("""COMPUTED_VALUE"""),515816.0)</f>
        <v>515816</v>
      </c>
      <c r="I72" s="5" t="str">
        <f>IFERROR(__xludf.DUMMYFUNCTION("""COMPUTED_VALUE"""),"○参加する")</f>
        <v>○参加する</v>
      </c>
      <c r="J72" s="5"/>
      <c r="K72" s="12">
        <f t="shared" si="2"/>
        <v>1</v>
      </c>
    </row>
    <row r="73" ht="19.5" customHeight="1">
      <c r="A73" s="5">
        <f>IFERROR(__xludf.DUMMYFUNCTION("""COMPUTED_VALUE"""),210235.0)</f>
        <v>210235</v>
      </c>
      <c r="B73" s="5" t="str">
        <f>IFERROR(__xludf.DUMMYFUNCTION("""COMPUTED_VALUE"""),"竹内浩志")</f>
        <v>竹内浩志</v>
      </c>
      <c r="C73" s="5" t="str">
        <f>IFERROR(__xludf.DUMMYFUNCTION("""COMPUTED_VALUE"""),"たけうちひろし")</f>
        <v>たけうちひろし</v>
      </c>
      <c r="D73" s="5">
        <f>IFERROR(__xludf.DUMMYFUNCTION("""COMPUTED_VALUE"""),2.0)</f>
        <v>2</v>
      </c>
      <c r="E73" s="5" t="str">
        <f>IFERROR(__xludf.DUMMYFUNCTION("""COMPUTED_VALUE"""),"男")</f>
        <v>男</v>
      </c>
      <c r="F73" s="5" t="str">
        <f>IFERROR(__xludf.DUMMYFUNCTION("""COMPUTED_VALUE"""),"MUA")</f>
        <v>MUA</v>
      </c>
      <c r="G73" s="5" t="str">
        <f>IFERROR(__xludf.DUMMYFUNCTION("""COMPUTED_VALUE"""),"○出場")</f>
        <v>○出場</v>
      </c>
      <c r="H73" s="5">
        <f>IFERROR(__xludf.DUMMYFUNCTION("""COMPUTED_VALUE"""),261219.0)</f>
        <v>261219</v>
      </c>
      <c r="I73" s="5" t="str">
        <f>IFERROR(__xludf.DUMMYFUNCTION("""COMPUTED_VALUE"""),"×参加しない")</f>
        <v>×参加しない</v>
      </c>
      <c r="J73" s="5"/>
      <c r="K73" s="12">
        <f t="shared" si="2"/>
        <v>1</v>
      </c>
    </row>
    <row r="74" ht="19.5" customHeight="1">
      <c r="A74" s="5">
        <f>IFERROR(__xludf.DUMMYFUNCTION("""COMPUTED_VALUE"""),210236.0)</f>
        <v>210236</v>
      </c>
      <c r="B74" s="5" t="str">
        <f>IFERROR(__xludf.DUMMYFUNCTION("""COMPUTED_VALUE"""),"増井健人")</f>
        <v>増井健人</v>
      </c>
      <c r="C74" s="5" t="str">
        <f>IFERROR(__xludf.DUMMYFUNCTION("""COMPUTED_VALUE"""),"ますいけんと")</f>
        <v>ますいけんと</v>
      </c>
      <c r="D74" s="5">
        <f>IFERROR(__xludf.DUMMYFUNCTION("""COMPUTED_VALUE"""),2.0)</f>
        <v>2</v>
      </c>
      <c r="E74" s="5" t="str">
        <f>IFERROR(__xludf.DUMMYFUNCTION("""COMPUTED_VALUE"""),"男")</f>
        <v>男</v>
      </c>
      <c r="F74" s="5" t="str">
        <f>IFERROR(__xludf.DUMMYFUNCTION("""COMPUTED_VALUE"""),"MUA")</f>
        <v>MUA</v>
      </c>
      <c r="G74" s="5" t="str">
        <f>IFERROR(__xludf.DUMMYFUNCTION("""COMPUTED_VALUE"""),"○出場")</f>
        <v>○出場</v>
      </c>
      <c r="H74" s="5">
        <f>IFERROR(__xludf.DUMMYFUNCTION("""COMPUTED_VALUE"""),261212.0)</f>
        <v>261212</v>
      </c>
      <c r="I74" s="5" t="str">
        <f>IFERROR(__xludf.DUMMYFUNCTION("""COMPUTED_VALUE"""),"○参加する")</f>
        <v>○参加する</v>
      </c>
      <c r="J74" s="5"/>
      <c r="K74" s="12">
        <f t="shared" si="2"/>
        <v>1</v>
      </c>
    </row>
    <row r="75" ht="19.5" customHeight="1">
      <c r="A75" s="5">
        <f>IFERROR(__xludf.DUMMYFUNCTION("""COMPUTED_VALUE"""),210237.0)</f>
        <v>210237</v>
      </c>
      <c r="B75" s="5" t="str">
        <f>IFERROR(__xludf.DUMMYFUNCTION("""COMPUTED_VALUE"""),"前嶋透久")</f>
        <v>前嶋透久</v>
      </c>
      <c r="C75" s="5" t="str">
        <f>IFERROR(__xludf.DUMMYFUNCTION("""COMPUTED_VALUE"""),"まえしまゆきひさ")</f>
        <v>まえしまゆきひさ</v>
      </c>
      <c r="D75" s="5">
        <f>IFERROR(__xludf.DUMMYFUNCTION("""COMPUTED_VALUE"""),2.0)</f>
        <v>2</v>
      </c>
      <c r="E75" s="5" t="str">
        <f>IFERROR(__xludf.DUMMYFUNCTION("""COMPUTED_VALUE"""),"男")</f>
        <v>男</v>
      </c>
      <c r="F75" s="5" t="str">
        <f>IFERROR(__xludf.DUMMYFUNCTION("""COMPUTED_VALUE"""),"×欠場")</f>
        <v>×欠場</v>
      </c>
      <c r="G75" s="5" t="str">
        <f>IFERROR(__xludf.DUMMYFUNCTION("""COMPUTED_VALUE"""),"×欠場")</f>
        <v>×欠場</v>
      </c>
      <c r="H75" s="5"/>
      <c r="I75" s="5" t="str">
        <f>IFERROR(__xludf.DUMMYFUNCTION("""COMPUTED_VALUE"""),"×参加しない")</f>
        <v>×参加しない</v>
      </c>
      <c r="J75" s="5"/>
      <c r="K75" s="12">
        <f t="shared" si="2"/>
        <v>0</v>
      </c>
    </row>
    <row r="76" ht="19.5" customHeight="1">
      <c r="A76" s="5">
        <f>IFERROR(__xludf.DUMMYFUNCTION("""COMPUTED_VALUE"""),210238.0)</f>
        <v>210238</v>
      </c>
      <c r="B76" s="5" t="str">
        <f>IFERROR(__xludf.DUMMYFUNCTION("""COMPUTED_VALUE"""),"佐藤千尋")</f>
        <v>佐藤千尋</v>
      </c>
      <c r="C76" s="5" t="str">
        <f>IFERROR(__xludf.DUMMYFUNCTION("""COMPUTED_VALUE"""),"さとうちひろ")</f>
        <v>さとうちひろ</v>
      </c>
      <c r="D76" s="5">
        <f>IFERROR(__xludf.DUMMYFUNCTION("""COMPUTED_VALUE"""),2.0)</f>
        <v>2</v>
      </c>
      <c r="E76" s="5" t="str">
        <f>IFERROR(__xludf.DUMMYFUNCTION("""COMPUTED_VALUE"""),"女")</f>
        <v>女</v>
      </c>
      <c r="F76" s="5" t="str">
        <f>IFERROR(__xludf.DUMMYFUNCTION("""COMPUTED_VALUE"""),"WUA")</f>
        <v>WUA</v>
      </c>
      <c r="G76" s="5" t="str">
        <f>IFERROR(__xludf.DUMMYFUNCTION("""COMPUTED_VALUE"""),"○出場")</f>
        <v>○出場</v>
      </c>
      <c r="H76" s="5">
        <f>IFERROR(__xludf.DUMMYFUNCTION("""COMPUTED_VALUE"""),261224.0)</f>
        <v>261224</v>
      </c>
      <c r="I76" s="5" t="str">
        <f>IFERROR(__xludf.DUMMYFUNCTION("""COMPUTED_VALUE"""),"○参加する")</f>
        <v>○参加する</v>
      </c>
      <c r="J76" s="5"/>
      <c r="K76" s="12">
        <f t="shared" si="2"/>
        <v>1</v>
      </c>
    </row>
    <row r="77" ht="19.5" customHeight="1">
      <c r="A77" s="5">
        <f>IFERROR(__xludf.DUMMYFUNCTION("""COMPUTED_VALUE"""),210239.0)</f>
        <v>210239</v>
      </c>
      <c r="B77" s="5" t="str">
        <f>IFERROR(__xludf.DUMMYFUNCTION("""COMPUTED_VALUE"""),"長友悠")</f>
        <v>長友悠</v>
      </c>
      <c r="C77" s="5" t="str">
        <f>IFERROR(__xludf.DUMMYFUNCTION("""COMPUTED_VALUE"""),"ながともはるか")</f>
        <v>ながともはるか</v>
      </c>
      <c r="D77" s="5">
        <f>IFERROR(__xludf.DUMMYFUNCTION("""COMPUTED_VALUE"""),2.0)</f>
        <v>2</v>
      </c>
      <c r="E77" s="5" t="str">
        <f>IFERROR(__xludf.DUMMYFUNCTION("""COMPUTED_VALUE"""),"男")</f>
        <v>男</v>
      </c>
      <c r="F77" s="5" t="str">
        <f>IFERROR(__xludf.DUMMYFUNCTION("""COMPUTED_VALUE"""),"×欠場")</f>
        <v>×欠場</v>
      </c>
      <c r="G77" s="5" t="str">
        <f>IFERROR(__xludf.DUMMYFUNCTION("""COMPUTED_VALUE"""),"×欠場")</f>
        <v>×欠場</v>
      </c>
      <c r="H77" s="5"/>
      <c r="I77" s="5" t="str">
        <f>IFERROR(__xludf.DUMMYFUNCTION("""COMPUTED_VALUE"""),"×参加しない")</f>
        <v>×参加しない</v>
      </c>
      <c r="J77" s="5"/>
      <c r="K77" s="12">
        <f t="shared" si="2"/>
        <v>0</v>
      </c>
    </row>
    <row r="78" ht="19.5" customHeight="1">
      <c r="A78" s="5">
        <f>IFERROR(__xludf.DUMMYFUNCTION("""COMPUTED_VALUE"""),210241.0)</f>
        <v>210241</v>
      </c>
      <c r="B78" s="5" t="str">
        <f>IFERROR(__xludf.DUMMYFUNCTION("""COMPUTED_VALUE"""),"香西彩名")</f>
        <v>香西彩名</v>
      </c>
      <c r="C78" s="5" t="str">
        <f>IFERROR(__xludf.DUMMYFUNCTION("""COMPUTED_VALUE"""),"こうざいあやな")</f>
        <v>こうざいあやな</v>
      </c>
      <c r="D78" s="5">
        <f>IFERROR(__xludf.DUMMYFUNCTION("""COMPUTED_VALUE"""),2.0)</f>
        <v>2</v>
      </c>
      <c r="E78" s="5" t="str">
        <f>IFERROR(__xludf.DUMMYFUNCTION("""COMPUTED_VALUE"""),"女")</f>
        <v>女</v>
      </c>
      <c r="F78" s="5" t="str">
        <f>IFERROR(__xludf.DUMMYFUNCTION("""COMPUTED_VALUE"""),"WUA")</f>
        <v>WUA</v>
      </c>
      <c r="G78" s="5" t="str">
        <f>IFERROR(__xludf.DUMMYFUNCTION("""COMPUTED_VALUE"""),"○出場")</f>
        <v>○出場</v>
      </c>
      <c r="H78" s="5">
        <f>IFERROR(__xludf.DUMMYFUNCTION("""COMPUTED_VALUE"""),261226.0)</f>
        <v>261226</v>
      </c>
      <c r="I78" s="5" t="str">
        <f>IFERROR(__xludf.DUMMYFUNCTION("""COMPUTED_VALUE"""),"○参加する")</f>
        <v>○参加する</v>
      </c>
      <c r="J78" s="5"/>
      <c r="K78" s="12">
        <f t="shared" si="2"/>
        <v>1</v>
      </c>
    </row>
    <row r="79" ht="19.5" customHeight="1">
      <c r="A79" s="5">
        <f>IFERROR(__xludf.DUMMYFUNCTION("""COMPUTED_VALUE"""),210242.0)</f>
        <v>210242</v>
      </c>
      <c r="B79" s="5" t="str">
        <f>IFERROR(__xludf.DUMMYFUNCTION("""COMPUTED_VALUE"""),"手塚啄朗")</f>
        <v>手塚啄朗</v>
      </c>
      <c r="C79" s="5" t="str">
        <f>IFERROR(__xludf.DUMMYFUNCTION("""COMPUTED_VALUE"""),"てづかたくろう")</f>
        <v>てづかたくろう</v>
      </c>
      <c r="D79" s="5">
        <f>IFERROR(__xludf.DUMMYFUNCTION("""COMPUTED_VALUE"""),2.0)</f>
        <v>2</v>
      </c>
      <c r="E79" s="5" t="str">
        <f>IFERROR(__xludf.DUMMYFUNCTION("""COMPUTED_VALUE"""),"男")</f>
        <v>男</v>
      </c>
      <c r="F79" s="5" t="str">
        <f>IFERROR(__xludf.DUMMYFUNCTION("""COMPUTED_VALUE"""),"MUA")</f>
        <v>MUA</v>
      </c>
      <c r="G79" s="5" t="str">
        <f>IFERROR(__xludf.DUMMYFUNCTION("""COMPUTED_VALUE"""),"○出場")</f>
        <v>○出場</v>
      </c>
      <c r="H79" s="5">
        <f>IFERROR(__xludf.DUMMYFUNCTION("""COMPUTED_VALUE"""),261208.0)</f>
        <v>261208</v>
      </c>
      <c r="I79" s="5" t="str">
        <f>IFERROR(__xludf.DUMMYFUNCTION("""COMPUTED_VALUE"""),"○参加する")</f>
        <v>○参加する</v>
      </c>
      <c r="J79" s="5"/>
      <c r="K79" s="12">
        <f t="shared" si="2"/>
        <v>1</v>
      </c>
    </row>
    <row r="80" ht="19.5" customHeight="1">
      <c r="A80" s="5">
        <f>IFERROR(__xludf.DUMMYFUNCTION("""COMPUTED_VALUE"""),210244.0)</f>
        <v>210244</v>
      </c>
      <c r="B80" s="5" t="str">
        <f>IFERROR(__xludf.DUMMYFUNCTION("""COMPUTED_VALUE"""),"恒川穂花")</f>
        <v>恒川穂花</v>
      </c>
      <c r="C80" s="5" t="str">
        <f>IFERROR(__xludf.DUMMYFUNCTION("""COMPUTED_VALUE"""),"つねかわほのか")</f>
        <v>つねかわほのか</v>
      </c>
      <c r="D80" s="5">
        <f>IFERROR(__xludf.DUMMYFUNCTION("""COMPUTED_VALUE"""),2.0)</f>
        <v>2</v>
      </c>
      <c r="E80" s="5" t="str">
        <f>IFERROR(__xludf.DUMMYFUNCTION("""COMPUTED_VALUE"""),"女")</f>
        <v>女</v>
      </c>
      <c r="F80" s="5" t="str">
        <f>IFERROR(__xludf.DUMMYFUNCTION("""COMPUTED_VALUE"""),"×欠場")</f>
        <v>×欠場</v>
      </c>
      <c r="G80" s="5" t="str">
        <f>IFERROR(__xludf.DUMMYFUNCTION("""COMPUTED_VALUE"""),"×欠場")</f>
        <v>×欠場</v>
      </c>
      <c r="H80" s="5"/>
      <c r="I80" s="5" t="str">
        <f>IFERROR(__xludf.DUMMYFUNCTION("""COMPUTED_VALUE"""),"×参加しない")</f>
        <v>×参加しない</v>
      </c>
      <c r="J80" s="5"/>
      <c r="K80" s="12">
        <f t="shared" si="2"/>
        <v>0</v>
      </c>
    </row>
    <row r="81" ht="19.5" customHeight="1">
      <c r="A81" s="5">
        <f>IFERROR(__xludf.DUMMYFUNCTION("""COMPUTED_VALUE"""),110202.0)</f>
        <v>110202</v>
      </c>
      <c r="B81" s="5" t="str">
        <f>IFERROR(__xludf.DUMMYFUNCTION("""COMPUTED_VALUE"""),"安部雄真")</f>
        <v>安部雄真</v>
      </c>
      <c r="C81" s="5" t="str">
        <f>IFERROR(__xludf.DUMMYFUNCTION("""COMPUTED_VALUE"""),"あべゆうま")</f>
        <v>あべゆうま</v>
      </c>
      <c r="D81" s="5">
        <f>IFERROR(__xludf.DUMMYFUNCTION("""COMPUTED_VALUE"""),3.0)</f>
        <v>3</v>
      </c>
      <c r="E81" s="5" t="str">
        <f>IFERROR(__xludf.DUMMYFUNCTION("""COMPUTED_VALUE"""),"男")</f>
        <v>男</v>
      </c>
      <c r="F81" s="5" t="str">
        <f>IFERROR(__xludf.DUMMYFUNCTION("""COMPUTED_VALUE"""),"MUB")</f>
        <v>MUB</v>
      </c>
      <c r="G81" s="5" t="str">
        <f>IFERROR(__xludf.DUMMYFUNCTION("""COMPUTED_VALUE"""),"○出場")</f>
        <v>○出場</v>
      </c>
      <c r="H81" s="5"/>
      <c r="I81" s="5" t="str">
        <f>IFERROR(__xludf.DUMMYFUNCTION("""COMPUTED_VALUE"""),"○参加する")</f>
        <v>○参加する</v>
      </c>
      <c r="J81" s="5"/>
      <c r="K81" s="12">
        <f t="shared" si="2"/>
        <v>1</v>
      </c>
    </row>
    <row r="82" ht="19.5" customHeight="1">
      <c r="A82" s="5">
        <f>IFERROR(__xludf.DUMMYFUNCTION("""COMPUTED_VALUE"""),110204.0)</f>
        <v>110204</v>
      </c>
      <c r="B82" s="5" t="str">
        <f>IFERROR(__xludf.DUMMYFUNCTION("""COMPUTED_VALUE"""),"大場理主")</f>
        <v>大場理主</v>
      </c>
      <c r="C82" s="5" t="str">
        <f>IFERROR(__xludf.DUMMYFUNCTION("""COMPUTED_VALUE"""),"おおばまさかず")</f>
        <v>おおばまさかず</v>
      </c>
      <c r="D82" s="5">
        <f>IFERROR(__xludf.DUMMYFUNCTION("""COMPUTED_VALUE"""),3.0)</f>
        <v>3</v>
      </c>
      <c r="E82" s="5" t="str">
        <f>IFERROR(__xludf.DUMMYFUNCTION("""COMPUTED_VALUE"""),"男")</f>
        <v>男</v>
      </c>
      <c r="F82" s="5" t="str">
        <f>IFERROR(__xludf.DUMMYFUNCTION("""COMPUTED_VALUE"""),"×欠場")</f>
        <v>×欠場</v>
      </c>
      <c r="G82" s="5" t="str">
        <f>IFERROR(__xludf.DUMMYFUNCTION("""COMPUTED_VALUE"""),"×欠場")</f>
        <v>×欠場</v>
      </c>
      <c r="H82" s="5"/>
      <c r="I82" s="5" t="str">
        <f>IFERROR(__xludf.DUMMYFUNCTION("""COMPUTED_VALUE"""),"×参加しない")</f>
        <v>×参加しない</v>
      </c>
      <c r="J82" s="5"/>
      <c r="K82" s="12">
        <f t="shared" si="2"/>
        <v>0</v>
      </c>
    </row>
    <row r="83" ht="19.5" customHeight="1">
      <c r="A83" s="5">
        <f>IFERROR(__xludf.DUMMYFUNCTION("""COMPUTED_VALUE"""),110205.0)</f>
        <v>110205</v>
      </c>
      <c r="B83" s="5" t="str">
        <f>IFERROR(__xludf.DUMMYFUNCTION("""COMPUTED_VALUE"""),"渥見大成")</f>
        <v>渥見大成</v>
      </c>
      <c r="C83" s="5" t="str">
        <f>IFERROR(__xludf.DUMMYFUNCTION("""COMPUTED_VALUE"""),"あつみたいせい")</f>
        <v>あつみたいせい</v>
      </c>
      <c r="D83" s="5">
        <f>IFERROR(__xludf.DUMMYFUNCTION("""COMPUTED_VALUE"""),3.0)</f>
        <v>3</v>
      </c>
      <c r="E83" s="5" t="str">
        <f>IFERROR(__xludf.DUMMYFUNCTION("""COMPUTED_VALUE"""),"男")</f>
        <v>男</v>
      </c>
      <c r="F83" s="5" t="str">
        <f>IFERROR(__xludf.DUMMYFUNCTION("""COMPUTED_VALUE"""),"×欠場")</f>
        <v>×欠場</v>
      </c>
      <c r="G83" s="5" t="str">
        <f>IFERROR(__xludf.DUMMYFUNCTION("""COMPUTED_VALUE"""),"×欠場")</f>
        <v>×欠場</v>
      </c>
      <c r="H83" s="5"/>
      <c r="I83" s="5" t="str">
        <f>IFERROR(__xludf.DUMMYFUNCTION("""COMPUTED_VALUE"""),"×参加しない")</f>
        <v>×参加しない</v>
      </c>
      <c r="J83" s="5"/>
      <c r="K83" s="12">
        <f t="shared" si="2"/>
        <v>0</v>
      </c>
    </row>
    <row r="84" ht="19.5" customHeight="1">
      <c r="A84" s="5">
        <f>IFERROR(__xludf.DUMMYFUNCTION("""COMPUTED_VALUE"""),110208.0)</f>
        <v>110208</v>
      </c>
      <c r="B84" s="5" t="str">
        <f>IFERROR(__xludf.DUMMYFUNCTION("""COMPUTED_VALUE"""),"岩城美奈")</f>
        <v>岩城美奈</v>
      </c>
      <c r="C84" s="5" t="str">
        <f>IFERROR(__xludf.DUMMYFUNCTION("""COMPUTED_VALUE"""),"いわきみな")</f>
        <v>いわきみな</v>
      </c>
      <c r="D84" s="5">
        <f>IFERROR(__xludf.DUMMYFUNCTION("""COMPUTED_VALUE"""),3.0)</f>
        <v>3</v>
      </c>
      <c r="E84" s="5" t="str">
        <f>IFERROR(__xludf.DUMMYFUNCTION("""COMPUTED_VALUE"""),"女")</f>
        <v>女</v>
      </c>
      <c r="F84" s="5" t="str">
        <f>IFERROR(__xludf.DUMMYFUNCTION("""COMPUTED_VALUE"""),"WUA")</f>
        <v>WUA</v>
      </c>
      <c r="G84" s="5" t="str">
        <f>IFERROR(__xludf.DUMMYFUNCTION("""COMPUTED_VALUE"""),"○出場")</f>
        <v>○出場</v>
      </c>
      <c r="H84" s="5">
        <f>IFERROR(__xludf.DUMMYFUNCTION("""COMPUTED_VALUE"""),266154.0)</f>
        <v>266154</v>
      </c>
      <c r="I84" s="5" t="str">
        <f>IFERROR(__xludf.DUMMYFUNCTION("""COMPUTED_VALUE"""),"○参加する")</f>
        <v>○参加する</v>
      </c>
      <c r="J84" s="5"/>
      <c r="K84" s="12">
        <f t="shared" si="2"/>
        <v>1</v>
      </c>
    </row>
    <row r="85" ht="19.5" customHeight="1">
      <c r="A85" s="5">
        <f>IFERROR(__xludf.DUMMYFUNCTION("""COMPUTED_VALUE"""),110209.0)</f>
        <v>110209</v>
      </c>
      <c r="B85" s="5" t="str">
        <f>IFERROR(__xludf.DUMMYFUNCTION("""COMPUTED_VALUE"""),"久慈洋平")</f>
        <v>久慈洋平</v>
      </c>
      <c r="C85" s="5" t="str">
        <f>IFERROR(__xludf.DUMMYFUNCTION("""COMPUTED_VALUE"""),"くじようへい")</f>
        <v>くじようへい</v>
      </c>
      <c r="D85" s="5">
        <f>IFERROR(__xludf.DUMMYFUNCTION("""COMPUTED_VALUE"""),3.0)</f>
        <v>3</v>
      </c>
      <c r="E85" s="5" t="str">
        <f>IFERROR(__xludf.DUMMYFUNCTION("""COMPUTED_VALUE"""),"男")</f>
        <v>男</v>
      </c>
      <c r="F85" s="5" t="str">
        <f>IFERROR(__xludf.DUMMYFUNCTION("""COMPUTED_VALUE"""),"MUA")</f>
        <v>MUA</v>
      </c>
      <c r="G85" s="5" t="str">
        <f>IFERROR(__xludf.DUMMYFUNCTION("""COMPUTED_VALUE"""),"○出場")</f>
        <v>○出場</v>
      </c>
      <c r="H85" s="5"/>
      <c r="I85" s="5" t="str">
        <f>IFERROR(__xludf.DUMMYFUNCTION("""COMPUTED_VALUE"""),"○参加する")</f>
        <v>○参加する</v>
      </c>
      <c r="J85" s="5"/>
      <c r="K85" s="12">
        <f t="shared" si="2"/>
        <v>1</v>
      </c>
    </row>
    <row r="86" ht="19.5" customHeight="1">
      <c r="A86" s="5">
        <f>IFERROR(__xludf.DUMMYFUNCTION("""COMPUTED_VALUE"""),110210.0)</f>
        <v>110210</v>
      </c>
      <c r="B86" s="5" t="str">
        <f>IFERROR(__xludf.DUMMYFUNCTION("""COMPUTED_VALUE"""),"白川和希")</f>
        <v>白川和希</v>
      </c>
      <c r="C86" s="5" t="str">
        <f>IFERROR(__xludf.DUMMYFUNCTION("""COMPUTED_VALUE"""),"しらかわかずき")</f>
        <v>しらかわかずき</v>
      </c>
      <c r="D86" s="5">
        <f>IFERROR(__xludf.DUMMYFUNCTION("""COMPUTED_VALUE"""),3.0)</f>
        <v>3</v>
      </c>
      <c r="E86" s="5" t="str">
        <f>IFERROR(__xludf.DUMMYFUNCTION("""COMPUTED_VALUE"""),"男")</f>
        <v>男</v>
      </c>
      <c r="F86" s="5" t="str">
        <f>IFERROR(__xludf.DUMMYFUNCTION("""COMPUTED_VALUE"""),"MUA")</f>
        <v>MUA</v>
      </c>
      <c r="G86" s="5" t="str">
        <f>IFERROR(__xludf.DUMMYFUNCTION("""COMPUTED_VALUE"""),"○出場")</f>
        <v>○出場</v>
      </c>
      <c r="H86" s="5">
        <f>IFERROR(__xludf.DUMMYFUNCTION("""COMPUTED_VALUE"""),266150.0)</f>
        <v>266150</v>
      </c>
      <c r="I86" s="5" t="str">
        <f>IFERROR(__xludf.DUMMYFUNCTION("""COMPUTED_VALUE"""),"×参加しない")</f>
        <v>×参加しない</v>
      </c>
      <c r="J86" s="5"/>
      <c r="K86" s="12">
        <f t="shared" si="2"/>
        <v>1</v>
      </c>
    </row>
    <row r="87" ht="19.5" customHeight="1">
      <c r="A87" s="5">
        <f>IFERROR(__xludf.DUMMYFUNCTION("""COMPUTED_VALUE"""),110211.0)</f>
        <v>110211</v>
      </c>
      <c r="B87" s="5" t="str">
        <f>IFERROR(__xludf.DUMMYFUNCTION("""COMPUTED_VALUE"""),"佐々木義紀")</f>
        <v>佐々木義紀</v>
      </c>
      <c r="C87" s="5" t="str">
        <f>IFERROR(__xludf.DUMMYFUNCTION("""COMPUTED_VALUE"""),"ささきよしのり")</f>
        <v>ささきよしのり</v>
      </c>
      <c r="D87" s="5">
        <f>IFERROR(__xludf.DUMMYFUNCTION("""COMPUTED_VALUE"""),3.0)</f>
        <v>3</v>
      </c>
      <c r="E87" s="5" t="str">
        <f>IFERROR(__xludf.DUMMYFUNCTION("""COMPUTED_VALUE"""),"男")</f>
        <v>男</v>
      </c>
      <c r="F87" s="5" t="str">
        <f>IFERROR(__xludf.DUMMYFUNCTION("""COMPUTED_VALUE"""),"×欠場")</f>
        <v>×欠場</v>
      </c>
      <c r="G87" s="5" t="str">
        <f>IFERROR(__xludf.DUMMYFUNCTION("""COMPUTED_VALUE"""),"×欠場")</f>
        <v>×欠場</v>
      </c>
      <c r="H87" s="5"/>
      <c r="I87" s="5" t="str">
        <f>IFERROR(__xludf.DUMMYFUNCTION("""COMPUTED_VALUE"""),"×参加しない")</f>
        <v>×参加しない</v>
      </c>
      <c r="J87" s="5"/>
      <c r="K87" s="12">
        <f t="shared" si="2"/>
        <v>0</v>
      </c>
    </row>
    <row r="88" ht="19.5" customHeight="1">
      <c r="A88" s="5">
        <f>IFERROR(__xludf.DUMMYFUNCTION("""COMPUTED_VALUE"""),110213.0)</f>
        <v>110213</v>
      </c>
      <c r="B88" s="5" t="str">
        <f>IFERROR(__xludf.DUMMYFUNCTION("""COMPUTED_VALUE"""),"田中僚祐")</f>
        <v>田中僚祐</v>
      </c>
      <c r="C88" s="5" t="str">
        <f>IFERROR(__xludf.DUMMYFUNCTION("""COMPUTED_VALUE"""),"たなかりょうすけ")</f>
        <v>たなかりょうすけ</v>
      </c>
      <c r="D88" s="5">
        <f>IFERROR(__xludf.DUMMYFUNCTION("""COMPUTED_VALUE"""),3.0)</f>
        <v>3</v>
      </c>
      <c r="E88" s="5" t="str">
        <f>IFERROR(__xludf.DUMMYFUNCTION("""COMPUTED_VALUE"""),"男")</f>
        <v>男</v>
      </c>
      <c r="F88" s="5" t="str">
        <f>IFERROR(__xludf.DUMMYFUNCTION("""COMPUTED_VALUE"""),"MUA")</f>
        <v>MUA</v>
      </c>
      <c r="G88" s="5" t="str">
        <f>IFERROR(__xludf.DUMMYFUNCTION("""COMPUTED_VALUE"""),"○出場")</f>
        <v>○出場</v>
      </c>
      <c r="H88" s="5"/>
      <c r="I88" s="5" t="str">
        <f>IFERROR(__xludf.DUMMYFUNCTION("""COMPUTED_VALUE"""),"×参加しない")</f>
        <v>×参加しない</v>
      </c>
      <c r="J88" s="5"/>
      <c r="K88" s="12">
        <f t="shared" si="2"/>
        <v>1</v>
      </c>
    </row>
    <row r="89" ht="19.5" customHeight="1">
      <c r="A89" s="5">
        <f>IFERROR(__xludf.DUMMYFUNCTION("""COMPUTED_VALUE"""),110216.0)</f>
        <v>110216</v>
      </c>
      <c r="B89" s="5" t="str">
        <f>IFERROR(__xludf.DUMMYFUNCTION("""COMPUTED_VALUE"""),"野村 恒裕")</f>
        <v>野村 恒裕</v>
      </c>
      <c r="C89" s="5" t="str">
        <f>IFERROR(__xludf.DUMMYFUNCTION("""COMPUTED_VALUE"""),"のむら つねひろ")</f>
        <v>のむら つねひろ</v>
      </c>
      <c r="D89" s="5">
        <f>IFERROR(__xludf.DUMMYFUNCTION("""COMPUTED_VALUE"""),3.0)</f>
        <v>3</v>
      </c>
      <c r="E89" s="5" t="str">
        <f>IFERROR(__xludf.DUMMYFUNCTION("""COMPUTED_VALUE"""),"男")</f>
        <v>男</v>
      </c>
      <c r="F89" s="5" t="str">
        <f>IFERROR(__xludf.DUMMYFUNCTION("""COMPUTED_VALUE"""),"×欠場")</f>
        <v>×欠場</v>
      </c>
      <c r="G89" s="5" t="str">
        <f>IFERROR(__xludf.DUMMYFUNCTION("""COMPUTED_VALUE"""),"×欠場")</f>
        <v>×欠場</v>
      </c>
      <c r="H89" s="5"/>
      <c r="I89" s="5" t="str">
        <f>IFERROR(__xludf.DUMMYFUNCTION("""COMPUTED_VALUE"""),"×参加しない")</f>
        <v>×参加しない</v>
      </c>
      <c r="J89" s="5"/>
      <c r="K89" s="12">
        <f t="shared" si="2"/>
        <v>0</v>
      </c>
    </row>
    <row r="90" ht="19.5" customHeight="1">
      <c r="A90" s="5">
        <f>IFERROR(__xludf.DUMMYFUNCTION("""COMPUTED_VALUE"""),110217.0)</f>
        <v>110217</v>
      </c>
      <c r="B90" s="5" t="str">
        <f>IFERROR(__xludf.DUMMYFUNCTION("""COMPUTED_VALUE"""),"畑　敦也")</f>
        <v>畑　敦也</v>
      </c>
      <c r="C90" s="5" t="str">
        <f>IFERROR(__xludf.DUMMYFUNCTION("""COMPUTED_VALUE"""),"はたあつや")</f>
        <v>はたあつや</v>
      </c>
      <c r="D90" s="5">
        <f>IFERROR(__xludf.DUMMYFUNCTION("""COMPUTED_VALUE"""),3.0)</f>
        <v>3</v>
      </c>
      <c r="E90" s="5" t="str">
        <f>IFERROR(__xludf.DUMMYFUNCTION("""COMPUTED_VALUE"""),"男")</f>
        <v>男</v>
      </c>
      <c r="F90" s="5" t="str">
        <f>IFERROR(__xludf.DUMMYFUNCTION("""COMPUTED_VALUE"""),"MUA")</f>
        <v>MUA</v>
      </c>
      <c r="G90" s="5" t="str">
        <f>IFERROR(__xludf.DUMMYFUNCTION("""COMPUTED_VALUE"""),"○出場")</f>
        <v>○出場</v>
      </c>
      <c r="H90" s="5">
        <f>IFERROR(__xludf.DUMMYFUNCTION("""COMPUTED_VALUE"""),266152.0)</f>
        <v>266152</v>
      </c>
      <c r="I90" s="5" t="str">
        <f>IFERROR(__xludf.DUMMYFUNCTION("""COMPUTED_VALUE"""),"×参加しない")</f>
        <v>×参加しない</v>
      </c>
      <c r="J90" s="5"/>
      <c r="K90" s="12">
        <f t="shared" si="2"/>
        <v>1</v>
      </c>
    </row>
    <row r="91" ht="19.5" customHeight="1">
      <c r="A91" s="5">
        <f>IFERROR(__xludf.DUMMYFUNCTION("""COMPUTED_VALUE"""),110218.0)</f>
        <v>110218</v>
      </c>
      <c r="B91" s="5" t="str">
        <f>IFERROR(__xludf.DUMMYFUNCTION("""COMPUTED_VALUE"""),"林明穂")</f>
        <v>林明穂</v>
      </c>
      <c r="C91" s="5" t="str">
        <f>IFERROR(__xludf.DUMMYFUNCTION("""COMPUTED_VALUE"""),"はやしあきほ")</f>
        <v>はやしあきほ</v>
      </c>
      <c r="D91" s="5">
        <f>IFERROR(__xludf.DUMMYFUNCTION("""COMPUTED_VALUE"""),3.0)</f>
        <v>3</v>
      </c>
      <c r="E91" s="5" t="str">
        <f>IFERROR(__xludf.DUMMYFUNCTION("""COMPUTED_VALUE"""),"女")</f>
        <v>女</v>
      </c>
      <c r="F91" s="5" t="str">
        <f>IFERROR(__xludf.DUMMYFUNCTION("""COMPUTED_VALUE"""),"WUA")</f>
        <v>WUA</v>
      </c>
      <c r="G91" s="5" t="str">
        <f>IFERROR(__xludf.DUMMYFUNCTION("""COMPUTED_VALUE"""),"○出場")</f>
        <v>○出場</v>
      </c>
      <c r="H91" s="5">
        <f>IFERROR(__xludf.DUMMYFUNCTION("""COMPUTED_VALUE"""),266151.0)</f>
        <v>266151</v>
      </c>
      <c r="I91" s="5" t="str">
        <f>IFERROR(__xludf.DUMMYFUNCTION("""COMPUTED_VALUE"""),"○参加する")</f>
        <v>○参加する</v>
      </c>
      <c r="J91" s="5"/>
      <c r="K91" s="12">
        <f t="shared" si="2"/>
        <v>1</v>
      </c>
    </row>
    <row r="92" ht="19.5" customHeight="1">
      <c r="A92" s="5">
        <f>IFERROR(__xludf.DUMMYFUNCTION("""COMPUTED_VALUE"""),110219.0)</f>
        <v>110219</v>
      </c>
      <c r="B92" s="5" t="str">
        <f>IFERROR(__xludf.DUMMYFUNCTION("""COMPUTED_VALUE"""),"堀口航")</f>
        <v>堀口航</v>
      </c>
      <c r="C92" s="5" t="str">
        <f>IFERROR(__xludf.DUMMYFUNCTION("""COMPUTED_VALUE"""),"ほりぐちわたる")</f>
        <v>ほりぐちわたる</v>
      </c>
      <c r="D92" s="5">
        <f>IFERROR(__xludf.DUMMYFUNCTION("""COMPUTED_VALUE"""),3.0)</f>
        <v>3</v>
      </c>
      <c r="E92" s="5" t="str">
        <f>IFERROR(__xludf.DUMMYFUNCTION("""COMPUTED_VALUE"""),"男")</f>
        <v>男</v>
      </c>
      <c r="F92" s="5" t="str">
        <f>IFERROR(__xludf.DUMMYFUNCTION("""COMPUTED_VALUE"""),"MUA")</f>
        <v>MUA</v>
      </c>
      <c r="G92" s="5" t="str">
        <f>IFERROR(__xludf.DUMMYFUNCTION("""COMPUTED_VALUE"""),"○出場")</f>
        <v>○出場</v>
      </c>
      <c r="H92" s="5"/>
      <c r="I92" s="5" t="str">
        <f>IFERROR(__xludf.DUMMYFUNCTION("""COMPUTED_VALUE"""),"○参加する")</f>
        <v>○参加する</v>
      </c>
      <c r="J92" s="5"/>
      <c r="K92" s="12">
        <f t="shared" si="2"/>
        <v>1</v>
      </c>
    </row>
    <row r="93" ht="19.5" customHeight="1">
      <c r="A93" s="5">
        <f>IFERROR(__xludf.DUMMYFUNCTION("""COMPUTED_VALUE"""),110221.0)</f>
        <v>110221</v>
      </c>
      <c r="B93" s="5" t="str">
        <f>IFERROR(__xludf.DUMMYFUNCTION("""COMPUTED_VALUE"""),"宮津奈緒美")</f>
        <v>宮津奈緒美</v>
      </c>
      <c r="C93" s="5" t="str">
        <f>IFERROR(__xludf.DUMMYFUNCTION("""COMPUTED_VALUE"""),"みやづなおみ")</f>
        <v>みやづなおみ</v>
      </c>
      <c r="D93" s="5">
        <f>IFERROR(__xludf.DUMMYFUNCTION("""COMPUTED_VALUE"""),3.0)</f>
        <v>3</v>
      </c>
      <c r="E93" s="5" t="str">
        <f>IFERROR(__xludf.DUMMYFUNCTION("""COMPUTED_VALUE"""),"女")</f>
        <v>女</v>
      </c>
      <c r="F93" s="5" t="str">
        <f>IFERROR(__xludf.DUMMYFUNCTION("""COMPUTED_VALUE"""),"WUA")</f>
        <v>WUA</v>
      </c>
      <c r="G93" s="5" t="str">
        <f>IFERROR(__xludf.DUMMYFUNCTION("""COMPUTED_VALUE"""),"○出場")</f>
        <v>○出場</v>
      </c>
      <c r="H93" s="5">
        <f>IFERROR(__xludf.DUMMYFUNCTION("""COMPUTED_VALUE"""),270409.0)</f>
        <v>270409</v>
      </c>
      <c r="I93" s="5" t="str">
        <f>IFERROR(__xludf.DUMMYFUNCTION("""COMPUTED_VALUE"""),"○参加する")</f>
        <v>○参加する</v>
      </c>
      <c r="J93" s="5"/>
      <c r="K93" s="12">
        <f t="shared" si="2"/>
        <v>1</v>
      </c>
    </row>
    <row r="94" ht="19.5" customHeight="1">
      <c r="A94" s="5">
        <f>IFERROR(__xludf.DUMMYFUNCTION("""COMPUTED_VALUE"""),110222.0)</f>
        <v>110222</v>
      </c>
      <c r="B94" s="5" t="str">
        <f>IFERROR(__xludf.DUMMYFUNCTION("""COMPUTED_VALUE"""),"盛永悠太")</f>
        <v>盛永悠太</v>
      </c>
      <c r="C94" s="5" t="str">
        <f>IFERROR(__xludf.DUMMYFUNCTION("""COMPUTED_VALUE"""),"もりながゆうた")</f>
        <v>もりながゆうた</v>
      </c>
      <c r="D94" s="5">
        <f>IFERROR(__xludf.DUMMYFUNCTION("""COMPUTED_VALUE"""),3.0)</f>
        <v>3</v>
      </c>
      <c r="E94" s="5" t="str">
        <f>IFERROR(__xludf.DUMMYFUNCTION("""COMPUTED_VALUE"""),"男")</f>
        <v>男</v>
      </c>
      <c r="F94" s="5" t="str">
        <f>IFERROR(__xludf.DUMMYFUNCTION("""COMPUTED_VALUE"""),"×欠場")</f>
        <v>×欠場</v>
      </c>
      <c r="G94" s="5" t="str">
        <f>IFERROR(__xludf.DUMMYFUNCTION("""COMPUTED_VALUE"""),"×欠場")</f>
        <v>×欠場</v>
      </c>
      <c r="H94" s="5"/>
      <c r="I94" s="5" t="str">
        <f>IFERROR(__xludf.DUMMYFUNCTION("""COMPUTED_VALUE"""),"×参加しない")</f>
        <v>×参加しない</v>
      </c>
      <c r="J94" s="5"/>
      <c r="K94" s="12">
        <f t="shared" si="2"/>
        <v>0</v>
      </c>
    </row>
    <row r="95" ht="19.5" customHeight="1">
      <c r="A95" s="5">
        <f>IFERROR(__xludf.DUMMYFUNCTION("""COMPUTED_VALUE"""),110223.0)</f>
        <v>110223</v>
      </c>
      <c r="B95" s="5" t="str">
        <f>IFERROR(__xludf.DUMMYFUNCTION("""COMPUTED_VALUE"""),"横山大樹")</f>
        <v>横山大樹</v>
      </c>
      <c r="C95" s="5" t="str">
        <f>IFERROR(__xludf.DUMMYFUNCTION("""COMPUTED_VALUE"""),"よこやまたいき")</f>
        <v>よこやまたいき</v>
      </c>
      <c r="D95" s="5">
        <f>IFERROR(__xludf.DUMMYFUNCTION("""COMPUTED_VALUE"""),3.0)</f>
        <v>3</v>
      </c>
      <c r="E95" s="5" t="str">
        <f>IFERROR(__xludf.DUMMYFUNCTION("""COMPUTED_VALUE"""),"男")</f>
        <v>男</v>
      </c>
      <c r="F95" s="5" t="str">
        <f>IFERROR(__xludf.DUMMYFUNCTION("""COMPUTED_VALUE"""),"MUA")</f>
        <v>MUA</v>
      </c>
      <c r="G95" s="5" t="str">
        <f>IFERROR(__xludf.DUMMYFUNCTION("""COMPUTED_VALUE"""),"○出場")</f>
        <v>○出場</v>
      </c>
      <c r="H95" s="5">
        <f>IFERROR(__xludf.DUMMYFUNCTION("""COMPUTED_VALUE"""),261211.0)</f>
        <v>261211</v>
      </c>
      <c r="I95" s="5" t="str">
        <f>IFERROR(__xludf.DUMMYFUNCTION("""COMPUTED_VALUE"""),"○参加する")</f>
        <v>○参加する</v>
      </c>
      <c r="J95" s="5"/>
      <c r="K95" s="12">
        <f t="shared" si="2"/>
        <v>1</v>
      </c>
    </row>
    <row r="96" ht="19.5" customHeight="1">
      <c r="A96" s="5">
        <f>IFERROR(__xludf.DUMMYFUNCTION("""COMPUTED_VALUE"""),110224.0)</f>
        <v>110224</v>
      </c>
      <c r="B96" s="5" t="str">
        <f>IFERROR(__xludf.DUMMYFUNCTION("""COMPUTED_VALUE"""),"鷲津加子")</f>
        <v>鷲津加子</v>
      </c>
      <c r="C96" s="5" t="str">
        <f>IFERROR(__xludf.DUMMYFUNCTION("""COMPUTED_VALUE"""),"わしづかこ")</f>
        <v>わしづかこ</v>
      </c>
      <c r="D96" s="5">
        <f>IFERROR(__xludf.DUMMYFUNCTION("""COMPUTED_VALUE"""),3.0)</f>
        <v>3</v>
      </c>
      <c r="E96" s="5" t="str">
        <f>IFERROR(__xludf.DUMMYFUNCTION("""COMPUTED_VALUE"""),"女")</f>
        <v>女</v>
      </c>
      <c r="F96" s="5" t="str">
        <f>IFERROR(__xludf.DUMMYFUNCTION("""COMPUTED_VALUE"""),"WUA")</f>
        <v>WUA</v>
      </c>
      <c r="G96" s="5" t="str">
        <f>IFERROR(__xludf.DUMMYFUNCTION("""COMPUTED_VALUE"""),"○出場")</f>
        <v>○出場</v>
      </c>
      <c r="H96" s="5">
        <f>IFERROR(__xludf.DUMMYFUNCTION("""COMPUTED_VALUE"""),270397.0)</f>
        <v>270397</v>
      </c>
      <c r="I96" s="5" t="str">
        <f>IFERROR(__xludf.DUMMYFUNCTION("""COMPUTED_VALUE"""),"×参加しない")</f>
        <v>×参加しない</v>
      </c>
      <c r="J96" s="5"/>
      <c r="K96" s="12">
        <f t="shared" si="2"/>
        <v>1</v>
      </c>
    </row>
    <row r="97" ht="19.5" customHeight="1">
      <c r="A97" s="5">
        <f>IFERROR(__xludf.DUMMYFUNCTION("""COMPUTED_VALUE"""),110226.0)</f>
        <v>110226</v>
      </c>
      <c r="B97" s="5" t="str">
        <f>IFERROR(__xludf.DUMMYFUNCTION("""COMPUTED_VALUE"""),"小島佑太")</f>
        <v>小島佑太</v>
      </c>
      <c r="C97" s="5" t="str">
        <f>IFERROR(__xludf.DUMMYFUNCTION("""COMPUTED_VALUE"""),"こじまゆうた")</f>
        <v>こじまゆうた</v>
      </c>
      <c r="D97" s="5">
        <f>IFERROR(__xludf.DUMMYFUNCTION("""COMPUTED_VALUE"""),3.0)</f>
        <v>3</v>
      </c>
      <c r="E97" s="5" t="str">
        <f>IFERROR(__xludf.DUMMYFUNCTION("""COMPUTED_VALUE"""),"男")</f>
        <v>男</v>
      </c>
      <c r="F97" s="5" t="str">
        <f>IFERROR(__xludf.DUMMYFUNCTION("""COMPUTED_VALUE"""),"×欠場")</f>
        <v>×欠場</v>
      </c>
      <c r="G97" s="5" t="str">
        <f>IFERROR(__xludf.DUMMYFUNCTION("""COMPUTED_VALUE"""),"×欠場")</f>
        <v>×欠場</v>
      </c>
      <c r="H97" s="5"/>
      <c r="I97" s="5" t="str">
        <f>IFERROR(__xludf.DUMMYFUNCTION("""COMPUTED_VALUE"""),"×参加しない")</f>
        <v>×参加しない</v>
      </c>
      <c r="J97" s="5"/>
      <c r="K97" s="12">
        <f t="shared" si="2"/>
        <v>0</v>
      </c>
    </row>
    <row r="98" ht="19.5" customHeight="1">
      <c r="A98" s="5">
        <f>IFERROR(__xludf.DUMMYFUNCTION("""COMPUTED_VALUE"""),110228.0)</f>
        <v>110228</v>
      </c>
      <c r="B98" s="5" t="str">
        <f>IFERROR(__xludf.DUMMYFUNCTION("""COMPUTED_VALUE"""),"平出 駿")</f>
        <v>平出 駿</v>
      </c>
      <c r="C98" s="5" t="str">
        <f>IFERROR(__xludf.DUMMYFUNCTION("""COMPUTED_VALUE"""),"ひらいで しゅん")</f>
        <v>ひらいで しゅん</v>
      </c>
      <c r="D98" s="5">
        <f>IFERROR(__xludf.DUMMYFUNCTION("""COMPUTED_VALUE"""),3.0)</f>
        <v>3</v>
      </c>
      <c r="E98" s="5" t="str">
        <f>IFERROR(__xludf.DUMMYFUNCTION("""COMPUTED_VALUE"""),"男")</f>
        <v>男</v>
      </c>
      <c r="F98" s="5" t="str">
        <f>IFERROR(__xludf.DUMMYFUNCTION("""COMPUTED_VALUE"""),"MUA")</f>
        <v>MUA</v>
      </c>
      <c r="G98" s="5" t="str">
        <f>IFERROR(__xludf.DUMMYFUNCTION("""COMPUTED_VALUE"""),"○出場")</f>
        <v>○出場</v>
      </c>
      <c r="H98" s="5">
        <f>IFERROR(__xludf.DUMMYFUNCTION("""COMPUTED_VALUE"""),515721.0)</f>
        <v>515721</v>
      </c>
      <c r="I98" s="5" t="str">
        <f>IFERROR(__xludf.DUMMYFUNCTION("""COMPUTED_VALUE"""),"○参加する")</f>
        <v>○参加する</v>
      </c>
      <c r="J98" s="5"/>
      <c r="K98" s="12">
        <f t="shared" si="2"/>
        <v>1</v>
      </c>
    </row>
    <row r="99" ht="19.5" customHeight="1">
      <c r="A99" s="5">
        <f>IFERROR(__xludf.DUMMYFUNCTION("""COMPUTED_VALUE"""),110229.0)</f>
        <v>110229</v>
      </c>
      <c r="B99" s="5" t="str">
        <f>IFERROR(__xludf.DUMMYFUNCTION("""COMPUTED_VALUE"""),"倉本 大地")</f>
        <v>倉本 大地</v>
      </c>
      <c r="C99" s="5" t="str">
        <f>IFERROR(__xludf.DUMMYFUNCTION("""COMPUTED_VALUE"""),"くらもと だいち")</f>
        <v>くらもと だいち</v>
      </c>
      <c r="D99" s="5">
        <f>IFERROR(__xludf.DUMMYFUNCTION("""COMPUTED_VALUE"""),3.0)</f>
        <v>3</v>
      </c>
      <c r="E99" s="5" t="str">
        <f>IFERROR(__xludf.DUMMYFUNCTION("""COMPUTED_VALUE"""),"男")</f>
        <v>男</v>
      </c>
      <c r="F99" s="5" t="str">
        <f>IFERROR(__xludf.DUMMYFUNCTION("""COMPUTED_VALUE"""),"MUA")</f>
        <v>MUA</v>
      </c>
      <c r="G99" s="5" t="str">
        <f>IFERROR(__xludf.DUMMYFUNCTION("""COMPUTED_VALUE"""),"○出場")</f>
        <v>○出場</v>
      </c>
      <c r="H99" s="5">
        <f>IFERROR(__xludf.DUMMYFUNCTION("""COMPUTED_VALUE"""),270400.0)</f>
        <v>270400</v>
      </c>
      <c r="I99" s="5" t="str">
        <f>IFERROR(__xludf.DUMMYFUNCTION("""COMPUTED_VALUE"""),"○参加する")</f>
        <v>○参加する</v>
      </c>
      <c r="J99" s="5"/>
      <c r="K99" s="12">
        <f t="shared" si="2"/>
        <v>1</v>
      </c>
    </row>
    <row r="100" ht="19.5" customHeight="1">
      <c r="A100" s="5">
        <f>IFERROR(__xludf.DUMMYFUNCTION("""COMPUTED_VALUE"""),110231.0)</f>
        <v>110231</v>
      </c>
      <c r="B100" s="5" t="str">
        <f>IFERROR(__xludf.DUMMYFUNCTION("""COMPUTED_VALUE"""),"山口 悠斗")</f>
        <v>山口 悠斗</v>
      </c>
      <c r="C100" s="5" t="str">
        <f>IFERROR(__xludf.DUMMYFUNCTION("""COMPUTED_VALUE"""),"やまぐち ゆうと")</f>
        <v>やまぐち ゆうと</v>
      </c>
      <c r="D100" s="5">
        <f>IFERROR(__xludf.DUMMYFUNCTION("""COMPUTED_VALUE"""),3.0)</f>
        <v>3</v>
      </c>
      <c r="E100" s="5" t="str">
        <f>IFERROR(__xludf.DUMMYFUNCTION("""COMPUTED_VALUE"""),"男")</f>
        <v>男</v>
      </c>
      <c r="F100" s="5" t="str">
        <f>IFERROR(__xludf.DUMMYFUNCTION("""COMPUTED_VALUE"""),"MUA")</f>
        <v>MUA</v>
      </c>
      <c r="G100" s="5" t="str">
        <f>IFERROR(__xludf.DUMMYFUNCTION("""COMPUTED_VALUE"""),"○出場")</f>
        <v>○出場</v>
      </c>
      <c r="H100" s="5">
        <f>IFERROR(__xludf.DUMMYFUNCTION("""COMPUTED_VALUE"""),270403.0)</f>
        <v>270403</v>
      </c>
      <c r="I100" s="5" t="str">
        <f>IFERROR(__xludf.DUMMYFUNCTION("""COMPUTED_VALUE"""),"×参加しない")</f>
        <v>×参加しない</v>
      </c>
      <c r="J100" s="5"/>
      <c r="K100" s="12">
        <f t="shared" si="2"/>
        <v>1</v>
      </c>
    </row>
    <row r="101" ht="19.5" customHeight="1">
      <c r="A101" s="5">
        <f>IFERROR(__xludf.DUMMYFUNCTION("""COMPUTED_VALUE"""),110232.0)</f>
        <v>110232</v>
      </c>
      <c r="B101" s="5" t="str">
        <f>IFERROR(__xludf.DUMMYFUNCTION("""COMPUTED_VALUE"""),"竹下 恭成")</f>
        <v>竹下 恭成</v>
      </c>
      <c r="C101" s="5" t="str">
        <f>IFERROR(__xludf.DUMMYFUNCTION("""COMPUTED_VALUE"""),"たけした きょうせい")</f>
        <v>たけした きょうせい</v>
      </c>
      <c r="D101" s="5">
        <f>IFERROR(__xludf.DUMMYFUNCTION("""COMPUTED_VALUE"""),3.0)</f>
        <v>3</v>
      </c>
      <c r="E101" s="5" t="str">
        <f>IFERROR(__xludf.DUMMYFUNCTION("""COMPUTED_VALUE"""),"男")</f>
        <v>男</v>
      </c>
      <c r="F101" s="5" t="str">
        <f>IFERROR(__xludf.DUMMYFUNCTION("""COMPUTED_VALUE"""),"×欠場")</f>
        <v>×欠場</v>
      </c>
      <c r="G101" s="5" t="str">
        <f>IFERROR(__xludf.DUMMYFUNCTION("""COMPUTED_VALUE"""),"×欠場")</f>
        <v>×欠場</v>
      </c>
      <c r="H101" s="5"/>
      <c r="I101" s="5" t="str">
        <f>IFERROR(__xludf.DUMMYFUNCTION("""COMPUTED_VALUE"""),"×参加しない")</f>
        <v>×参加しない</v>
      </c>
      <c r="J101" s="5"/>
      <c r="K101" s="12">
        <f t="shared" si="2"/>
        <v>0</v>
      </c>
    </row>
    <row r="102" ht="19.5" customHeight="1">
      <c r="A102" s="5">
        <f>IFERROR(__xludf.DUMMYFUNCTION("""COMPUTED_VALUE"""),110233.0)</f>
        <v>110233</v>
      </c>
      <c r="B102" s="5" t="str">
        <f>IFERROR(__xludf.DUMMYFUNCTION("""COMPUTED_VALUE"""),"山田 大翔")</f>
        <v>山田 大翔</v>
      </c>
      <c r="C102" s="5" t="str">
        <f>IFERROR(__xludf.DUMMYFUNCTION("""COMPUTED_VALUE"""),"やまだ ひろと")</f>
        <v>やまだ ひろと</v>
      </c>
      <c r="D102" s="5">
        <f>IFERROR(__xludf.DUMMYFUNCTION("""COMPUTED_VALUE"""),3.0)</f>
        <v>3</v>
      </c>
      <c r="E102" s="5" t="str">
        <f>IFERROR(__xludf.DUMMYFUNCTION("""COMPUTED_VALUE"""),"男")</f>
        <v>男</v>
      </c>
      <c r="F102" s="5" t="str">
        <f>IFERROR(__xludf.DUMMYFUNCTION("""COMPUTED_VALUE"""),"MUA")</f>
        <v>MUA</v>
      </c>
      <c r="G102" s="5" t="str">
        <f>IFERROR(__xludf.DUMMYFUNCTION("""COMPUTED_VALUE"""),"○出場")</f>
        <v>○出場</v>
      </c>
      <c r="H102" s="5">
        <f>IFERROR(__xludf.DUMMYFUNCTION("""COMPUTED_VALUE"""),256450.0)</f>
        <v>256450</v>
      </c>
      <c r="I102" s="5" t="str">
        <f>IFERROR(__xludf.DUMMYFUNCTION("""COMPUTED_VALUE"""),"○参加する")</f>
        <v>○参加する</v>
      </c>
      <c r="J102" s="5"/>
      <c r="K102" s="12">
        <f t="shared" si="2"/>
        <v>1</v>
      </c>
    </row>
    <row r="103" ht="19.5" customHeight="1">
      <c r="A103" s="5">
        <f>IFERROR(__xludf.DUMMYFUNCTION("""COMPUTED_VALUE"""),110234.0)</f>
        <v>110234</v>
      </c>
      <c r="B103" s="5" t="str">
        <f>IFERROR(__xludf.DUMMYFUNCTION("""COMPUTED_VALUE"""),"岡田 大河")</f>
        <v>岡田 大河</v>
      </c>
      <c r="C103" s="5" t="str">
        <f>IFERROR(__xludf.DUMMYFUNCTION("""COMPUTED_VALUE"""),"おかだ たいが")</f>
        <v>おかだ たいが</v>
      </c>
      <c r="D103" s="5">
        <f>IFERROR(__xludf.DUMMYFUNCTION("""COMPUTED_VALUE"""),3.0)</f>
        <v>3</v>
      </c>
      <c r="E103" s="5" t="str">
        <f>IFERROR(__xludf.DUMMYFUNCTION("""COMPUTED_VALUE"""),"男")</f>
        <v>男</v>
      </c>
      <c r="F103" s="5" t="str">
        <f>IFERROR(__xludf.DUMMYFUNCTION("""COMPUTED_VALUE"""),"×欠場")</f>
        <v>×欠場</v>
      </c>
      <c r="G103" s="5" t="str">
        <f>IFERROR(__xludf.DUMMYFUNCTION("""COMPUTED_VALUE"""),"×欠場")</f>
        <v>×欠場</v>
      </c>
      <c r="H103" s="5"/>
      <c r="I103" s="5" t="str">
        <f>IFERROR(__xludf.DUMMYFUNCTION("""COMPUTED_VALUE"""),"×参加しない")</f>
        <v>×参加しない</v>
      </c>
      <c r="J103" s="5"/>
      <c r="K103" s="12">
        <f t="shared" si="2"/>
        <v>0</v>
      </c>
    </row>
    <row r="104" ht="19.5" customHeight="1">
      <c r="A104" s="5">
        <f>IFERROR(__xludf.DUMMYFUNCTION("""COMPUTED_VALUE"""),110235.0)</f>
        <v>110235</v>
      </c>
      <c r="B104" s="5" t="str">
        <f>IFERROR(__xludf.DUMMYFUNCTION("""COMPUTED_VALUE"""),"菊地 航平")</f>
        <v>菊地 航平</v>
      </c>
      <c r="C104" s="5" t="str">
        <f>IFERROR(__xludf.DUMMYFUNCTION("""COMPUTED_VALUE"""),"きくち こうへい")</f>
        <v>きくち こうへい</v>
      </c>
      <c r="D104" s="5">
        <f>IFERROR(__xludf.DUMMYFUNCTION("""COMPUTED_VALUE"""),3.0)</f>
        <v>3</v>
      </c>
      <c r="E104" s="5" t="str">
        <f>IFERROR(__xludf.DUMMYFUNCTION("""COMPUTED_VALUE"""),"男")</f>
        <v>男</v>
      </c>
      <c r="F104" s="5" t="str">
        <f>IFERROR(__xludf.DUMMYFUNCTION("""COMPUTED_VALUE"""),"MUA")</f>
        <v>MUA</v>
      </c>
      <c r="G104" s="5" t="str">
        <f>IFERROR(__xludf.DUMMYFUNCTION("""COMPUTED_VALUE"""),"○出場")</f>
        <v>○出場</v>
      </c>
      <c r="H104" s="5">
        <f>IFERROR(__xludf.DUMMYFUNCTION("""COMPUTED_VALUE"""),515806.0)</f>
        <v>515806</v>
      </c>
      <c r="I104" s="5" t="str">
        <f>IFERROR(__xludf.DUMMYFUNCTION("""COMPUTED_VALUE"""),"○参加する")</f>
        <v>○参加する</v>
      </c>
      <c r="J104" s="5"/>
      <c r="K104" s="12">
        <f t="shared" si="2"/>
        <v>1</v>
      </c>
    </row>
    <row r="105" ht="19.5" customHeight="1">
      <c r="A105" s="5">
        <f>IFERROR(__xludf.DUMMYFUNCTION("""COMPUTED_VALUE"""),110236.0)</f>
        <v>110236</v>
      </c>
      <c r="B105" s="5" t="str">
        <f>IFERROR(__xludf.DUMMYFUNCTION("""COMPUTED_VALUE"""),"小堀 拓馬")</f>
        <v>小堀 拓馬</v>
      </c>
      <c r="C105" s="5" t="str">
        <f>IFERROR(__xludf.DUMMYFUNCTION("""COMPUTED_VALUE"""),"こぼり たくま")</f>
        <v>こぼり たくま</v>
      </c>
      <c r="D105" s="5">
        <f>IFERROR(__xludf.DUMMYFUNCTION("""COMPUTED_VALUE"""),3.0)</f>
        <v>3</v>
      </c>
      <c r="E105" s="5" t="str">
        <f>IFERROR(__xludf.DUMMYFUNCTION("""COMPUTED_VALUE"""),"男")</f>
        <v>男</v>
      </c>
      <c r="F105" s="5" t="str">
        <f>IFERROR(__xludf.DUMMYFUNCTION("""COMPUTED_VALUE"""),"×欠場")</f>
        <v>×欠場</v>
      </c>
      <c r="G105" s="5" t="str">
        <f>IFERROR(__xludf.DUMMYFUNCTION("""COMPUTED_VALUE"""),"×欠場")</f>
        <v>×欠場</v>
      </c>
      <c r="H105" s="5"/>
      <c r="I105" s="5" t="str">
        <f>IFERROR(__xludf.DUMMYFUNCTION("""COMPUTED_VALUE"""),"×参加しない")</f>
        <v>×参加しない</v>
      </c>
      <c r="J105" s="5"/>
      <c r="K105" s="12">
        <f t="shared" si="2"/>
        <v>0</v>
      </c>
    </row>
    <row r="106" ht="19.5" customHeight="1">
      <c r="A106" s="5">
        <f>IFERROR(__xludf.DUMMYFUNCTION("""COMPUTED_VALUE"""),110239.0)</f>
        <v>110239</v>
      </c>
      <c r="B106" s="5" t="str">
        <f>IFERROR(__xludf.DUMMYFUNCTION("""COMPUTED_VALUE"""),"西澤 秋甫")</f>
        <v>西澤 秋甫</v>
      </c>
      <c r="C106" s="5" t="str">
        <f>IFERROR(__xludf.DUMMYFUNCTION("""COMPUTED_VALUE"""),"にしざわ しゅうすけ")</f>
        <v>にしざわ しゅうすけ</v>
      </c>
      <c r="D106" s="5">
        <f>IFERROR(__xludf.DUMMYFUNCTION("""COMPUTED_VALUE"""),3.0)</f>
        <v>3</v>
      </c>
      <c r="E106" s="5" t="str">
        <f>IFERROR(__xludf.DUMMYFUNCTION("""COMPUTED_VALUE"""),"男")</f>
        <v>男</v>
      </c>
      <c r="F106" s="5" t="str">
        <f>IFERROR(__xludf.DUMMYFUNCTION("""COMPUTED_VALUE"""),"MUA")</f>
        <v>MUA</v>
      </c>
      <c r="G106" s="5" t="str">
        <f>IFERROR(__xludf.DUMMYFUNCTION("""COMPUTED_VALUE"""),"○出場")</f>
        <v>○出場</v>
      </c>
      <c r="H106" s="5">
        <f>IFERROR(__xludf.DUMMYFUNCTION("""COMPUTED_VALUE"""),515812.0)</f>
        <v>515812</v>
      </c>
      <c r="I106" s="5" t="str">
        <f>IFERROR(__xludf.DUMMYFUNCTION("""COMPUTED_VALUE"""),"○参加する")</f>
        <v>○参加する</v>
      </c>
      <c r="J106" s="5"/>
      <c r="K106" s="12">
        <f t="shared" si="2"/>
        <v>1</v>
      </c>
    </row>
    <row r="107" ht="19.5" customHeight="1">
      <c r="A107" s="5">
        <f>IFERROR(__xludf.DUMMYFUNCTION("""COMPUTED_VALUE"""),10201.0)</f>
        <v>10201</v>
      </c>
      <c r="B107" s="5" t="str">
        <f>IFERROR(__xludf.DUMMYFUNCTION("""COMPUTED_VALUE"""),"高橋忠大")</f>
        <v>高橋忠大</v>
      </c>
      <c r="C107" s="5" t="str">
        <f>IFERROR(__xludf.DUMMYFUNCTION("""COMPUTED_VALUE"""),"たかはし　あつと")</f>
        <v>たかはし　あつと</v>
      </c>
      <c r="D107" s="5">
        <f>IFERROR(__xludf.DUMMYFUNCTION("""COMPUTED_VALUE"""),4.0)</f>
        <v>4</v>
      </c>
      <c r="E107" s="5" t="str">
        <f>IFERROR(__xludf.DUMMYFUNCTION("""COMPUTED_VALUE"""),"男")</f>
        <v>男</v>
      </c>
      <c r="F107" s="5" t="str">
        <f>IFERROR(__xludf.DUMMYFUNCTION("""COMPUTED_VALUE"""),"MUA")</f>
        <v>MUA</v>
      </c>
      <c r="G107" s="5" t="str">
        <f>IFERROR(__xludf.DUMMYFUNCTION("""COMPUTED_VALUE"""),"○出場")</f>
        <v>○出場</v>
      </c>
      <c r="H107" s="5">
        <f>IFERROR(__xludf.DUMMYFUNCTION("""COMPUTED_VALUE"""),270403.0)</f>
        <v>270403</v>
      </c>
      <c r="I107" s="5" t="str">
        <f>IFERROR(__xludf.DUMMYFUNCTION("""COMPUTED_VALUE"""),"○参加する")</f>
        <v>○参加する</v>
      </c>
      <c r="J107" s="5"/>
      <c r="K107" s="12">
        <f t="shared" si="2"/>
        <v>1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2128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1</v>
      </c>
      <c r="E4" s="7">
        <f t="shared" ref="E4:E6" si="1">C4*D4</f>
        <v>8500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0</v>
      </c>
      <c r="E5" s="7">
        <f t="shared" si="1"/>
        <v>0</v>
      </c>
    </row>
    <row r="6" ht="19.5" customHeight="1">
      <c r="A6" s="2" t="s">
        <v>9</v>
      </c>
      <c r="B6" s="4"/>
      <c r="C6" s="7">
        <v>32700.0</v>
      </c>
      <c r="D6" s="5">
        <f>D4+D5</f>
        <v>1</v>
      </c>
      <c r="E6" s="7">
        <f t="shared" si="1"/>
        <v>32700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1</v>
      </c>
      <c r="E7" s="7">
        <f>C7*D7/3</f>
        <v>1500</v>
      </c>
      <c r="F7" s="47" t="s">
        <v>2319</v>
      </c>
    </row>
    <row r="8" ht="19.5" customHeight="1">
      <c r="A8" s="2" t="s">
        <v>11</v>
      </c>
      <c r="B8" s="4"/>
      <c r="C8" s="7">
        <v>500.0</v>
      </c>
      <c r="D8" s="5">
        <f>D4-COUNT(H14:H201)</f>
        <v>0</v>
      </c>
      <c r="E8" s="7">
        <f>C8*D8</f>
        <v>0</v>
      </c>
    </row>
    <row r="9" ht="19.5" customHeight="1">
      <c r="A9" s="9"/>
      <c r="B9" s="9"/>
      <c r="C9" s="9"/>
      <c r="D9" s="10" t="s">
        <v>5</v>
      </c>
      <c r="E9" s="11">
        <f>SUM(E4:E8)</f>
        <v>42700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IFERROR(__xludf.DUMMYFUNCTION("FILTER('個人別エントリー'!C2:L1018,'個人別エントリー'!B2:B1018=A1)"),358301.0)</f>
        <v>358301</v>
      </c>
      <c r="B14" s="5" t="str">
        <f>IFERROR(__xludf.DUMMYFUNCTION("""COMPUTED_VALUE"""),"石原尋季")</f>
        <v>石原尋季</v>
      </c>
      <c r="C14" s="5" t="str">
        <f>IFERROR(__xludf.DUMMYFUNCTION("""COMPUTED_VALUE"""),"いしはらひろき")</f>
        <v>いしはらひろき</v>
      </c>
      <c r="D14" s="5">
        <f>IFERROR(__xludf.DUMMYFUNCTION("""COMPUTED_VALUE"""),1.0)</f>
        <v>1</v>
      </c>
      <c r="E14" s="5" t="str">
        <f>IFERROR(__xludf.DUMMYFUNCTION("""COMPUTED_VALUE"""),"男")</f>
        <v>男</v>
      </c>
      <c r="F14" s="5" t="str">
        <f>IFERROR(__xludf.DUMMYFUNCTION("""COMPUTED_VALUE"""),"MUF")</f>
        <v>MUF</v>
      </c>
      <c r="G14" s="5" t="str">
        <f>IFERROR(__xludf.DUMMYFUNCTION("""COMPUTED_VALUE"""),"○出場")</f>
        <v>○出場</v>
      </c>
      <c r="H14" s="5">
        <f>IFERROR(__xludf.DUMMYFUNCTION("""COMPUTED_VALUE"""),525161.0)</f>
        <v>525161</v>
      </c>
      <c r="I14" s="5" t="str">
        <f>IFERROR(__xludf.DUMMYFUNCTION("""COMPUTED_VALUE"""),"○参加する")</f>
        <v>○参加する</v>
      </c>
      <c r="J14" s="5"/>
      <c r="K14" s="12">
        <f t="shared" ref="K14:K201" si="2">IF(AND(OR(F14="×欠場",F14=""),OR(G14="×欠場",G14="")),0,1)</f>
        <v>1</v>
      </c>
      <c r="M14" s="5" t="str">
        <f>IFERROR(__xludf.DUMMYFUNCTION("FILTER('リレー内容'!$C$2:$K$51,'リレー内容'!$B$2:$B$51=A1)"),"○出場")</f>
        <v>○出場</v>
      </c>
      <c r="N14" s="5" t="str">
        <f>IFERROR(__xludf.DUMMYFUNCTION("""COMPUTED_VALUE"""),"×欠場")</f>
        <v>×欠場</v>
      </c>
      <c r="O14" s="5">
        <f>IFERROR(__xludf.DUMMYFUNCTION("""COMPUTED_VALUE"""),0.0)</f>
        <v>0</v>
      </c>
      <c r="P14" s="5">
        <f>IFERROR(__xludf.DUMMYFUNCTION("""COMPUTED_VALUE"""),0.0)</f>
        <v>0</v>
      </c>
      <c r="Q14" s="5">
        <f>IFERROR(__xludf.DUMMYFUNCTION("""COMPUTED_VALUE"""),0.0)</f>
        <v>0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12">
        <f t="shared" si="2"/>
        <v>0</v>
      </c>
    </row>
    <row r="16" ht="19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12">
        <f t="shared" si="2"/>
        <v>0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12">
        <f t="shared" si="2"/>
        <v>0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12">
        <f t="shared" si="2"/>
        <v>0</v>
      </c>
      <c r="M18" s="5" t="s">
        <v>25</v>
      </c>
      <c r="N18" s="2"/>
      <c r="O18" s="4"/>
      <c r="P18" s="48" t="s">
        <v>2320</v>
      </c>
      <c r="Q18" s="3"/>
      <c r="R18" s="3"/>
      <c r="S18" s="3"/>
      <c r="T18" s="3"/>
      <c r="U18" s="4"/>
    </row>
    <row r="19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12">
        <f t="shared" si="2"/>
        <v>0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12">
        <f t="shared" si="2"/>
        <v>0</v>
      </c>
    </row>
    <row r="21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12">
        <f t="shared" si="2"/>
        <v>0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2">
        <f t="shared" si="2"/>
        <v>0</v>
      </c>
      <c r="M23" s="2"/>
      <c r="N23" s="4"/>
      <c r="O23" s="2"/>
      <c r="P23" s="3"/>
      <c r="Q23" s="5"/>
      <c r="R23" s="2"/>
      <c r="S23" s="4"/>
      <c r="T23" s="14"/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2">
        <f t="shared" si="2"/>
        <v>0</v>
      </c>
      <c r="M24" s="2"/>
      <c r="N24" s="4"/>
      <c r="O24" s="2"/>
      <c r="P24" s="3"/>
      <c r="Q24" s="5"/>
      <c r="R24" s="2"/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12">
        <f t="shared" si="2"/>
        <v>0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12">
        <f t="shared" si="2"/>
        <v>0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12">
        <f t="shared" si="2"/>
        <v>0</v>
      </c>
    </row>
    <row r="28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12">
        <f t="shared" si="2"/>
        <v>0</v>
      </c>
    </row>
    <row r="29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12">
        <f t="shared" si="2"/>
        <v>0</v>
      </c>
    </row>
    <row r="3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12">
        <f t="shared" si="2"/>
        <v>0</v>
      </c>
    </row>
    <row r="31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12">
        <f t="shared" si="2"/>
        <v>0</v>
      </c>
    </row>
    <row r="32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12">
        <f t="shared" si="2"/>
        <v>0</v>
      </c>
    </row>
    <row r="33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12">
        <f t="shared" si="2"/>
        <v>0</v>
      </c>
    </row>
    <row r="34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12">
        <f t="shared" si="2"/>
        <v>0</v>
      </c>
    </row>
    <row r="3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12">
        <f t="shared" si="2"/>
        <v>0</v>
      </c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12">
        <f t="shared" si="2"/>
        <v>0</v>
      </c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12">
        <f t="shared" si="2"/>
        <v>0</v>
      </c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12">
        <f t="shared" si="2"/>
        <v>0</v>
      </c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12">
        <f t="shared" si="2"/>
        <v>0</v>
      </c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12">
        <f t="shared" si="2"/>
        <v>0</v>
      </c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12">
        <f t="shared" si="2"/>
        <v>0</v>
      </c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12">
        <f t="shared" si="2"/>
        <v>0</v>
      </c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12">
        <f t="shared" si="2"/>
        <v>0</v>
      </c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12">
        <f t="shared" si="2"/>
        <v>0</v>
      </c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2">
        <f t="shared" si="2"/>
        <v>0</v>
      </c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2">
        <f t="shared" si="2"/>
        <v>0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2131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1</v>
      </c>
      <c r="E4" s="7">
        <f t="shared" ref="E4:E6" si="1">C4*D4</f>
        <v>8500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0</v>
      </c>
      <c r="E5" s="7">
        <f t="shared" si="1"/>
        <v>0</v>
      </c>
    </row>
    <row r="6" ht="19.5" customHeight="1">
      <c r="A6" s="2" t="s">
        <v>9</v>
      </c>
      <c r="B6" s="4"/>
      <c r="C6" s="7">
        <v>32700.0</v>
      </c>
      <c r="D6" s="5">
        <f>D4+D5</f>
        <v>1</v>
      </c>
      <c r="E6" s="7">
        <f t="shared" si="1"/>
        <v>32700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1</v>
      </c>
      <c r="E7" s="7">
        <f>C7*D7/3</f>
        <v>1500</v>
      </c>
      <c r="F7" s="47" t="s">
        <v>2319</v>
      </c>
    </row>
    <row r="8" ht="19.5" customHeight="1">
      <c r="A8" s="2" t="s">
        <v>11</v>
      </c>
      <c r="B8" s="4"/>
      <c r="C8" s="7">
        <v>500.0</v>
      </c>
      <c r="D8" s="5">
        <f>D4-COUNT(H14:H201)</f>
        <v>0</v>
      </c>
      <c r="E8" s="7">
        <f>C8*D8</f>
        <v>0</v>
      </c>
    </row>
    <row r="9" ht="19.5" customHeight="1">
      <c r="A9" s="9"/>
      <c r="B9" s="9"/>
      <c r="C9" s="9"/>
      <c r="D9" s="10" t="s">
        <v>5</v>
      </c>
      <c r="E9" s="11">
        <f>SUM(E4:E8)</f>
        <v>42700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IFERROR(__xludf.DUMMYFUNCTION("FILTER('個人別エントリー'!C2:L1018,'個人別エントリー'!B2:B1018=A1)"),259701.0)</f>
        <v>259701</v>
      </c>
      <c r="B14" s="5" t="str">
        <f>IFERROR(__xludf.DUMMYFUNCTION("""COMPUTED_VALUE"""),"坂本瑠璃子")</f>
        <v>坂本瑠璃子</v>
      </c>
      <c r="C14" s="5" t="str">
        <f>IFERROR(__xludf.DUMMYFUNCTION("""COMPUTED_VALUE"""),"さかもとるりこ")</f>
        <v>さかもとるりこ</v>
      </c>
      <c r="D14" s="5">
        <f>IFERROR(__xludf.DUMMYFUNCTION("""COMPUTED_VALUE"""),2.0)</f>
        <v>2</v>
      </c>
      <c r="E14" s="5" t="str">
        <f>IFERROR(__xludf.DUMMYFUNCTION("""COMPUTED_VALUE"""),"女")</f>
        <v>女</v>
      </c>
      <c r="F14" s="5" t="str">
        <f>IFERROR(__xludf.DUMMYFUNCTION("""COMPUTED_VALUE"""),"WUA")</f>
        <v>WUA</v>
      </c>
      <c r="G14" s="5" t="str">
        <f>IFERROR(__xludf.DUMMYFUNCTION("""COMPUTED_VALUE"""),"○出場")</f>
        <v>○出場</v>
      </c>
      <c r="H14" s="5">
        <f>IFERROR(__xludf.DUMMYFUNCTION("""COMPUTED_VALUE"""),513291.0)</f>
        <v>513291</v>
      </c>
      <c r="I14" s="5" t="str">
        <f>IFERROR(__xludf.DUMMYFUNCTION("""COMPUTED_VALUE"""),"×参加しない")</f>
        <v>×参加しない</v>
      </c>
      <c r="J14" s="5"/>
      <c r="K14" s="12">
        <f t="shared" ref="K14:K201" si="2">IF(AND(OR(F14="×欠場",F14=""),OR(G14="×欠場",G14="")),0,1)</f>
        <v>1</v>
      </c>
      <c r="M14" s="5" t="str">
        <f>IFERROR(__xludf.DUMMYFUNCTION("FILTER('リレー内容'!$C$2:$K$51,'リレー内容'!$B$2:$B$51=A1)"),"×欠場")</f>
        <v>×欠場</v>
      </c>
      <c r="N14" s="5" t="str">
        <f>IFERROR(__xludf.DUMMYFUNCTION("""COMPUTED_VALUE"""),"○出場")</f>
        <v>○出場</v>
      </c>
      <c r="O14" s="5">
        <f>IFERROR(__xludf.DUMMYFUNCTION("""COMPUTED_VALUE"""),0.0)</f>
        <v>0</v>
      </c>
      <c r="P14" s="5">
        <f>IFERROR(__xludf.DUMMYFUNCTION("""COMPUTED_VALUE"""),0.0)</f>
        <v>0</v>
      </c>
      <c r="Q14" s="5">
        <f>IFERROR(__xludf.DUMMYFUNCTION("""COMPUTED_VALUE"""),0.0)</f>
        <v>0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12">
        <f t="shared" si="2"/>
        <v>0</v>
      </c>
    </row>
    <row r="16" ht="19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12">
        <f t="shared" si="2"/>
        <v>0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12">
        <f t="shared" si="2"/>
        <v>0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12">
        <f t="shared" si="2"/>
        <v>0</v>
      </c>
      <c r="M18" s="5" t="s">
        <v>26</v>
      </c>
      <c r="N18" s="2"/>
      <c r="O18" s="4"/>
      <c r="P18" s="2" t="s">
        <v>2337</v>
      </c>
      <c r="Q18" s="3"/>
      <c r="R18" s="3"/>
      <c r="S18" s="3"/>
      <c r="T18" s="3"/>
      <c r="U18" s="4"/>
    </row>
    <row r="19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12">
        <f t="shared" si="2"/>
        <v>0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12">
        <f t="shared" si="2"/>
        <v>0</v>
      </c>
    </row>
    <row r="21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12">
        <f t="shared" si="2"/>
        <v>0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2">
        <f t="shared" si="2"/>
        <v>0</v>
      </c>
      <c r="M23" s="2"/>
      <c r="N23" s="4"/>
      <c r="O23" s="2"/>
      <c r="P23" s="3"/>
      <c r="Q23" s="5"/>
      <c r="R23" s="2"/>
      <c r="S23" s="4"/>
      <c r="T23" s="14"/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2">
        <f t="shared" si="2"/>
        <v>0</v>
      </c>
      <c r="M24" s="2"/>
      <c r="N24" s="4"/>
      <c r="O24" s="2"/>
      <c r="P24" s="3"/>
      <c r="Q24" s="5"/>
      <c r="R24" s="2"/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12">
        <f t="shared" si="2"/>
        <v>0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12">
        <f t="shared" si="2"/>
        <v>0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12">
        <f t="shared" si="2"/>
        <v>0</v>
      </c>
    </row>
    <row r="28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12">
        <f t="shared" si="2"/>
        <v>0</v>
      </c>
    </row>
    <row r="29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12">
        <f t="shared" si="2"/>
        <v>0</v>
      </c>
    </row>
    <row r="3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12">
        <f t="shared" si="2"/>
        <v>0</v>
      </c>
    </row>
    <row r="31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12">
        <f t="shared" si="2"/>
        <v>0</v>
      </c>
    </row>
    <row r="32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12">
        <f t="shared" si="2"/>
        <v>0</v>
      </c>
    </row>
    <row r="33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12">
        <f t="shared" si="2"/>
        <v>0</v>
      </c>
    </row>
    <row r="34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12">
        <f t="shared" si="2"/>
        <v>0</v>
      </c>
    </row>
    <row r="3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12">
        <f t="shared" si="2"/>
        <v>0</v>
      </c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12">
        <f t="shared" si="2"/>
        <v>0</v>
      </c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12">
        <f t="shared" si="2"/>
        <v>0</v>
      </c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12">
        <f t="shared" si="2"/>
        <v>0</v>
      </c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12">
        <f t="shared" si="2"/>
        <v>0</v>
      </c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12">
        <f t="shared" si="2"/>
        <v>0</v>
      </c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12">
        <f t="shared" si="2"/>
        <v>0</v>
      </c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12">
        <f t="shared" si="2"/>
        <v>0</v>
      </c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12">
        <f t="shared" si="2"/>
        <v>0</v>
      </c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12">
        <f t="shared" si="2"/>
        <v>0</v>
      </c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2">
        <f t="shared" si="2"/>
        <v>0</v>
      </c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2">
        <f t="shared" si="2"/>
        <v>0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2134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4</v>
      </c>
      <c r="E4" s="7">
        <f t="shared" ref="E4:E8" si="1">C4*D4</f>
        <v>34000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1</v>
      </c>
      <c r="E5" s="7">
        <f t="shared" si="1"/>
        <v>8000</v>
      </c>
    </row>
    <row r="6" ht="19.5" customHeight="1">
      <c r="A6" s="2" t="s">
        <v>9</v>
      </c>
      <c r="B6" s="4"/>
      <c r="C6" s="7">
        <v>32700.0</v>
      </c>
      <c r="D6" s="5">
        <f>D4+D5</f>
        <v>5</v>
      </c>
      <c r="E6" s="7">
        <f t="shared" si="1"/>
        <v>163500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1</v>
      </c>
      <c r="E7" s="7">
        <f t="shared" si="1"/>
        <v>4500</v>
      </c>
    </row>
    <row r="8" ht="19.5" customHeight="1">
      <c r="A8" s="2" t="s">
        <v>11</v>
      </c>
      <c r="B8" s="4"/>
      <c r="C8" s="7">
        <v>500.0</v>
      </c>
      <c r="D8" s="5">
        <f>D4-COUNT(H14:H201)</f>
        <v>0</v>
      </c>
      <c r="E8" s="7">
        <f t="shared" si="1"/>
        <v>0</v>
      </c>
    </row>
    <row r="9" ht="19.5" customHeight="1">
      <c r="A9" s="9"/>
      <c r="B9" s="9"/>
      <c r="C9" s="9"/>
      <c r="D9" s="10" t="s">
        <v>5</v>
      </c>
      <c r="E9" s="11">
        <f>SUM(E4:E8)</f>
        <v>210000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IFERROR(__xludf.DUMMYFUNCTION("FILTER('個人別エントリー'!C2:L1018,'個人別エントリー'!B2:B1018=A1)"),360102.0)</f>
        <v>360102</v>
      </c>
      <c r="B14" s="5" t="str">
        <f>IFERROR(__xludf.DUMMYFUNCTION("""COMPUTED_VALUE"""),"井上 風大")</f>
        <v>井上 風大</v>
      </c>
      <c r="C14" s="5" t="str">
        <f>IFERROR(__xludf.DUMMYFUNCTION("""COMPUTED_VALUE"""),"いのうえ ふうた")</f>
        <v>いのうえ ふうた</v>
      </c>
      <c r="D14" s="5">
        <f>IFERROR(__xludf.DUMMYFUNCTION("""COMPUTED_VALUE"""),1.0)</f>
        <v>1</v>
      </c>
      <c r="E14" s="5" t="str">
        <f>IFERROR(__xludf.DUMMYFUNCTION("""COMPUTED_VALUE"""),"男")</f>
        <v>男</v>
      </c>
      <c r="F14" s="5" t="str">
        <f>IFERROR(__xludf.DUMMYFUNCTION("""COMPUTED_VALUE"""),"MUF")</f>
        <v>MUF</v>
      </c>
      <c r="G14" s="5" t="str">
        <f>IFERROR(__xludf.DUMMYFUNCTION("""COMPUTED_VALUE"""),"○出場")</f>
        <v>○出場</v>
      </c>
      <c r="H14" s="5">
        <f>IFERROR(__xludf.DUMMYFUNCTION("""COMPUTED_VALUE"""),511175.0)</f>
        <v>511175</v>
      </c>
      <c r="I14" s="5" t="str">
        <f>IFERROR(__xludf.DUMMYFUNCTION("""COMPUTED_VALUE"""),"○参加する")</f>
        <v>○参加する</v>
      </c>
      <c r="J14" s="5"/>
      <c r="K14" s="12">
        <f t="shared" ref="K14:K201" si="2">IF(AND(OR(F14="×欠場",F14=""),OR(G14="×欠場",G14="")),0,1)</f>
        <v>1</v>
      </c>
      <c r="M14" s="5" t="str">
        <f>IFERROR(__xludf.DUMMYFUNCTION("FILTER('リレー内容'!$C$2:$K$51,'リレー内容'!$B$2:$B$51=A1)"),"○出場")</f>
        <v>○出場</v>
      </c>
      <c r="N14" s="5" t="str">
        <f>IFERROR(__xludf.DUMMYFUNCTION("""COMPUTED_VALUE"""),"×欠場")</f>
        <v>×欠場</v>
      </c>
      <c r="O14" s="5">
        <f>IFERROR(__xludf.DUMMYFUNCTION("""COMPUTED_VALUE"""),0.0)</f>
        <v>0</v>
      </c>
      <c r="P14" s="5">
        <f>IFERROR(__xludf.DUMMYFUNCTION("""COMPUTED_VALUE"""),0.0)</f>
        <v>0</v>
      </c>
      <c r="Q14" s="5">
        <f>IFERROR(__xludf.DUMMYFUNCTION("""COMPUTED_VALUE"""),0.0)</f>
        <v>0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IFERROR(__xludf.DUMMYFUNCTION("""COMPUTED_VALUE"""),0.0)</f>
        <v>0</v>
      </c>
      <c r="U14" s="5">
        <f>IFERROR(__xludf.DUMMYFUNCTION("""COMPUTED_VALUE"""),1.0)</f>
        <v>1</v>
      </c>
    </row>
    <row r="15" ht="19.5" customHeight="1">
      <c r="A15" s="5">
        <f>IFERROR(__xludf.DUMMYFUNCTION("""COMPUTED_VALUE"""),260104.0)</f>
        <v>260104</v>
      </c>
      <c r="B15" s="5" t="str">
        <f>IFERROR(__xludf.DUMMYFUNCTION("""COMPUTED_VALUE"""),"加藤 優拓")</f>
        <v>加藤 優拓</v>
      </c>
      <c r="C15" s="5" t="str">
        <f>IFERROR(__xludf.DUMMYFUNCTION("""COMPUTED_VALUE"""),"かとう ゆうた")</f>
        <v>かとう ゆうた</v>
      </c>
      <c r="D15" s="5">
        <f>IFERROR(__xludf.DUMMYFUNCTION("""COMPUTED_VALUE"""),2.0)</f>
        <v>2</v>
      </c>
      <c r="E15" s="5" t="str">
        <f>IFERROR(__xludf.DUMMYFUNCTION("""COMPUTED_VALUE"""),"男")</f>
        <v>男</v>
      </c>
      <c r="F15" s="5" t="str">
        <f>IFERROR(__xludf.DUMMYFUNCTION("""COMPUTED_VALUE"""),"MUA")</f>
        <v>MUA</v>
      </c>
      <c r="G15" s="5" t="str">
        <f>IFERROR(__xludf.DUMMYFUNCTION("""COMPUTED_VALUE"""),"○出場")</f>
        <v>○出場</v>
      </c>
      <c r="H15" s="5">
        <f>IFERROR(__xludf.DUMMYFUNCTION("""COMPUTED_VALUE"""),518372.0)</f>
        <v>518372</v>
      </c>
      <c r="I15" s="5" t="str">
        <f>IFERROR(__xludf.DUMMYFUNCTION("""COMPUTED_VALUE"""),"○参加する")</f>
        <v>○参加する</v>
      </c>
      <c r="J15" s="5"/>
      <c r="K15" s="12">
        <f t="shared" si="2"/>
        <v>1</v>
      </c>
    </row>
    <row r="16" ht="19.5" customHeight="1">
      <c r="A16" s="5">
        <f>IFERROR(__xludf.DUMMYFUNCTION("""COMPUTED_VALUE"""),260106.0)</f>
        <v>260106</v>
      </c>
      <c r="B16" s="5" t="str">
        <f>IFERROR(__xludf.DUMMYFUNCTION("""COMPUTED_VALUE"""),"佐藤　健人")</f>
        <v>佐藤　健人</v>
      </c>
      <c r="C16" s="5" t="str">
        <f>IFERROR(__xludf.DUMMYFUNCTION("""COMPUTED_VALUE"""),"さとう　けんと")</f>
        <v>さとう　けんと</v>
      </c>
      <c r="D16" s="5">
        <f>IFERROR(__xludf.DUMMYFUNCTION("""COMPUTED_VALUE"""),2.0)</f>
        <v>2</v>
      </c>
      <c r="E16" s="5" t="str">
        <f>IFERROR(__xludf.DUMMYFUNCTION("""COMPUTED_VALUE"""),"男")</f>
        <v>男</v>
      </c>
      <c r="F16" s="5" t="str">
        <f>IFERROR(__xludf.DUMMYFUNCTION("""COMPUTED_VALUE"""),"MUA")</f>
        <v>MUA</v>
      </c>
      <c r="G16" s="5" t="str">
        <f>IFERROR(__xludf.DUMMYFUNCTION("""COMPUTED_VALUE"""),"○出場")</f>
        <v>○出場</v>
      </c>
      <c r="H16" s="5">
        <f>IFERROR(__xludf.DUMMYFUNCTION("""COMPUTED_VALUE"""),518373.0)</f>
        <v>518373</v>
      </c>
      <c r="I16" s="5" t="str">
        <f>IFERROR(__xludf.DUMMYFUNCTION("""COMPUTED_VALUE"""),"○参加する")</f>
        <v>○参加する</v>
      </c>
      <c r="J16" s="5"/>
      <c r="K16" s="12">
        <f t="shared" si="2"/>
        <v>1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>
        <f>IFERROR(__xludf.DUMMYFUNCTION("""COMPUTED_VALUE"""),160104.0)</f>
        <v>160104</v>
      </c>
      <c r="B17" s="5" t="str">
        <f>IFERROR(__xludf.DUMMYFUNCTION("""COMPUTED_VALUE"""),"一戸 厚志")</f>
        <v>一戸 厚志</v>
      </c>
      <c r="C17" s="5" t="str">
        <f>IFERROR(__xludf.DUMMYFUNCTION("""COMPUTED_VALUE"""),"いちのへ あつし")</f>
        <v>いちのへ あつし</v>
      </c>
      <c r="D17" s="5">
        <f>IFERROR(__xludf.DUMMYFUNCTION("""COMPUTED_VALUE"""),3.0)</f>
        <v>3</v>
      </c>
      <c r="E17" s="5" t="str">
        <f>IFERROR(__xludf.DUMMYFUNCTION("""COMPUTED_VALUE"""),"男")</f>
        <v>男</v>
      </c>
      <c r="F17" s="5" t="str">
        <f>IFERROR(__xludf.DUMMYFUNCTION("""COMPUTED_VALUE"""),"MUA")</f>
        <v>MUA</v>
      </c>
      <c r="G17" s="5" t="str">
        <f>IFERROR(__xludf.DUMMYFUNCTION("""COMPUTED_VALUE"""),"○出場")</f>
        <v>○出場</v>
      </c>
      <c r="H17" s="5">
        <f>IFERROR(__xludf.DUMMYFUNCTION("""COMPUTED_VALUE"""),518374.0)</f>
        <v>518374</v>
      </c>
      <c r="I17" s="5" t="str">
        <f>IFERROR(__xludf.DUMMYFUNCTION("""COMPUTED_VALUE"""),"○参加する")</f>
        <v>○参加する</v>
      </c>
      <c r="J17" s="5"/>
      <c r="K17" s="12">
        <f t="shared" si="2"/>
        <v>1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12">
        <f t="shared" si="2"/>
        <v>0</v>
      </c>
      <c r="M18" s="5"/>
      <c r="N18" s="2"/>
      <c r="O18" s="4"/>
      <c r="P18" s="2"/>
      <c r="Q18" s="3"/>
      <c r="R18" s="3"/>
      <c r="S18" s="3"/>
      <c r="T18" s="3"/>
      <c r="U18" s="4"/>
    </row>
    <row r="19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12">
        <f t="shared" si="2"/>
        <v>0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12">
        <f t="shared" si="2"/>
        <v>0</v>
      </c>
    </row>
    <row r="21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12">
        <f t="shared" si="2"/>
        <v>0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2">
        <f t="shared" si="2"/>
        <v>0</v>
      </c>
      <c r="M23" s="2" t="str">
        <f>IFERROR(__xludf.DUMMYFUNCTION("FILTER('オフィシャル'!$B$2:$B$65,'オフィシャル'!$A$2:$A$65=A1)"),"牧島晃平")</f>
        <v>牧島晃平</v>
      </c>
      <c r="N23" s="4"/>
      <c r="O23" s="2" t="str">
        <f>IFERROR(__xludf.DUMMYFUNCTION("FILTER('オフィシャル'!$C$2:$C$65,'オフィシャル'!$A$2:$A$65=A1)"),"まきしまこうへい")</f>
        <v>まきしまこうへい</v>
      </c>
      <c r="P23" s="3"/>
      <c r="Q23" s="5" t="str">
        <f>IFERROR(__xludf.DUMMYFUNCTION("FILTER('オフィシャル'!$D$2:$D$65,'オフィシャル'!$A$2:$A$65=A1)"),"男")</f>
        <v>男</v>
      </c>
      <c r="R23" s="2" t="str">
        <f>IFERROR(__xludf.DUMMYFUNCTION("FILTER('オフィシャル'!$E$2:$E$65,'オフィシャル'!$A$2:$A$65=A1)"),"○する")</f>
        <v>○する</v>
      </c>
      <c r="S23" s="4"/>
      <c r="T23" s="14" t="str">
        <f>IFERROR(__xludf.DUMMYFUNCTION("FILTER('オフィシャル'!$F$2:$F$65,'オフィシャル'!$A$2:$A$65=A1)"),"")</f>
        <v/>
      </c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2">
        <f t="shared" si="2"/>
        <v>0</v>
      </c>
      <c r="M24" s="2"/>
      <c r="N24" s="4"/>
      <c r="O24" s="2"/>
      <c r="P24" s="3"/>
      <c r="Q24" s="5"/>
      <c r="R24" s="2"/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12">
        <f t="shared" si="2"/>
        <v>0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12">
        <f t="shared" si="2"/>
        <v>0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12">
        <f t="shared" si="2"/>
        <v>0</v>
      </c>
    </row>
    <row r="28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12">
        <f t="shared" si="2"/>
        <v>0</v>
      </c>
    </row>
    <row r="29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12">
        <f t="shared" si="2"/>
        <v>0</v>
      </c>
    </row>
    <row r="3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12">
        <f t="shared" si="2"/>
        <v>0</v>
      </c>
    </row>
    <row r="31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12">
        <f t="shared" si="2"/>
        <v>0</v>
      </c>
    </row>
    <row r="32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12">
        <f t="shared" si="2"/>
        <v>0</v>
      </c>
    </row>
    <row r="33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12">
        <f t="shared" si="2"/>
        <v>0</v>
      </c>
    </row>
    <row r="34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12">
        <f t="shared" si="2"/>
        <v>0</v>
      </c>
    </row>
    <row r="3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12">
        <f t="shared" si="2"/>
        <v>0</v>
      </c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12">
        <f t="shared" si="2"/>
        <v>0</v>
      </c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12">
        <f t="shared" si="2"/>
        <v>0</v>
      </c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12">
        <f t="shared" si="2"/>
        <v>0</v>
      </c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12">
        <f t="shared" si="2"/>
        <v>0</v>
      </c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12">
        <f t="shared" si="2"/>
        <v>0</v>
      </c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12">
        <f t="shared" si="2"/>
        <v>0</v>
      </c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12">
        <f t="shared" si="2"/>
        <v>0</v>
      </c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12">
        <f t="shared" si="2"/>
        <v>0</v>
      </c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12">
        <f t="shared" si="2"/>
        <v>0</v>
      </c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2">
        <f t="shared" si="2"/>
        <v>0</v>
      </c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2">
        <f t="shared" si="2"/>
        <v>0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2143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1</v>
      </c>
      <c r="E4" s="7">
        <f t="shared" ref="E4:E8" si="1">C4*D4</f>
        <v>8500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0</v>
      </c>
      <c r="E5" s="7">
        <f t="shared" si="1"/>
        <v>0</v>
      </c>
    </row>
    <row r="6" ht="19.5" customHeight="1">
      <c r="A6" s="2" t="s">
        <v>9</v>
      </c>
      <c r="B6" s="4"/>
      <c r="C6" s="7">
        <v>32700.0</v>
      </c>
      <c r="D6" s="5">
        <f>D4+D5</f>
        <v>1</v>
      </c>
      <c r="E6" s="7">
        <f t="shared" si="1"/>
        <v>32700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0</v>
      </c>
      <c r="E7" s="7">
        <f t="shared" si="1"/>
        <v>0</v>
      </c>
    </row>
    <row r="8" ht="19.5" customHeight="1">
      <c r="A8" s="2" t="s">
        <v>11</v>
      </c>
      <c r="B8" s="4"/>
      <c r="C8" s="7">
        <v>500.0</v>
      </c>
      <c r="D8" s="5">
        <f>D4-COUNT(H14:H201)</f>
        <v>1</v>
      </c>
      <c r="E8" s="7">
        <f t="shared" si="1"/>
        <v>500</v>
      </c>
    </row>
    <row r="9" ht="19.5" customHeight="1">
      <c r="A9" s="9"/>
      <c r="B9" s="9"/>
      <c r="C9" s="9"/>
      <c r="D9" s="10" t="s">
        <v>5</v>
      </c>
      <c r="E9" s="11">
        <f>SUM(E4:E8)</f>
        <v>41700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IFERROR(__xludf.DUMMYFUNCTION("FILTER('個人別エントリー'!C2:L1018,'個人別エントリー'!B2:B1018=A1)"),364101.0)</f>
        <v>364101</v>
      </c>
      <c r="B14" s="5" t="str">
        <f>IFERROR(__xludf.DUMMYFUNCTION("""COMPUTED_VALUE"""),"福井陽貴")</f>
        <v>福井陽貴</v>
      </c>
      <c r="C14" s="5" t="str">
        <f>IFERROR(__xludf.DUMMYFUNCTION("""COMPUTED_VALUE"""),"ふくいはるき")</f>
        <v>ふくいはるき</v>
      </c>
      <c r="D14" s="5">
        <f>IFERROR(__xludf.DUMMYFUNCTION("""COMPUTED_VALUE"""),1.0)</f>
        <v>1</v>
      </c>
      <c r="E14" s="5" t="str">
        <f>IFERROR(__xludf.DUMMYFUNCTION("""COMPUTED_VALUE"""),"男")</f>
        <v>男</v>
      </c>
      <c r="F14" s="5" t="str">
        <f>IFERROR(__xludf.DUMMYFUNCTION("""COMPUTED_VALUE"""),"MUF")</f>
        <v>MUF</v>
      </c>
      <c r="G14" s="5" t="str">
        <f>IFERROR(__xludf.DUMMYFUNCTION("""COMPUTED_VALUE"""),"○出場")</f>
        <v>○出場</v>
      </c>
      <c r="H14" s="5"/>
      <c r="I14" s="5" t="str">
        <f>IFERROR(__xludf.DUMMYFUNCTION("""COMPUTED_VALUE"""),"○参加する")</f>
        <v>○参加する</v>
      </c>
      <c r="J14" s="5"/>
      <c r="K14" s="12">
        <f t="shared" ref="K14:K201" si="2">IF(AND(OR(F14="×欠場",F14=""),OR(G14="×欠場",G14="")),0,1)</f>
        <v>1</v>
      </c>
      <c r="M14" s="5" t="str">
        <f>IFERROR(__xludf.DUMMYFUNCTION("FILTER('リレー内容'!$C$2:$K$51,'リレー内容'!$B$2:$B$51=A1)"),"×欠場")</f>
        <v>×欠場</v>
      </c>
      <c r="N14" s="5" t="str">
        <f>IFERROR(__xludf.DUMMYFUNCTION("""COMPUTED_VALUE"""),"×欠場")</f>
        <v>×欠場</v>
      </c>
      <c r="O14" s="5">
        <f>IFERROR(__xludf.DUMMYFUNCTION("""COMPUTED_VALUE"""),0.0)</f>
        <v>0</v>
      </c>
      <c r="P14" s="5">
        <f>IFERROR(__xludf.DUMMYFUNCTION("""COMPUTED_VALUE"""),0.0)</f>
        <v>0</v>
      </c>
      <c r="Q14" s="5">
        <f>IFERROR(__xludf.DUMMYFUNCTION("""COMPUTED_VALUE"""),0.0)</f>
        <v>0</v>
      </c>
      <c r="R14" s="5">
        <f>IFERROR(__xludf.DUMMYFUNCTION("""COMPUTED_VALUE"""),1.0)</f>
        <v>1</v>
      </c>
      <c r="S14" s="5">
        <f>IFERROR(__xludf.DUMMYFUNCTION("""COMPUTED_VALUE"""),0.0)</f>
        <v>0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12">
        <f t="shared" si="2"/>
        <v>0</v>
      </c>
    </row>
    <row r="16" ht="19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12">
        <f t="shared" si="2"/>
        <v>0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12">
        <f t="shared" si="2"/>
        <v>0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12">
        <f t="shared" si="2"/>
        <v>0</v>
      </c>
      <c r="M18" s="5"/>
      <c r="N18" s="2"/>
      <c r="O18" s="4"/>
      <c r="P18" s="2"/>
      <c r="Q18" s="3"/>
      <c r="R18" s="3"/>
      <c r="S18" s="3"/>
      <c r="T18" s="3"/>
      <c r="U18" s="4"/>
    </row>
    <row r="19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12">
        <f t="shared" si="2"/>
        <v>0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12">
        <f t="shared" si="2"/>
        <v>0</v>
      </c>
    </row>
    <row r="21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12">
        <f t="shared" si="2"/>
        <v>0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2">
        <f t="shared" si="2"/>
        <v>0</v>
      </c>
      <c r="M23" s="2"/>
      <c r="N23" s="4"/>
      <c r="O23" s="2"/>
      <c r="P23" s="3"/>
      <c r="Q23" s="5"/>
      <c r="R23" s="2"/>
      <c r="S23" s="4"/>
      <c r="T23" s="14"/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2">
        <f t="shared" si="2"/>
        <v>0</v>
      </c>
      <c r="M24" s="2"/>
      <c r="N24" s="4"/>
      <c r="O24" s="2"/>
      <c r="P24" s="3"/>
      <c r="Q24" s="5"/>
      <c r="R24" s="2"/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12">
        <f t="shared" si="2"/>
        <v>0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12">
        <f t="shared" si="2"/>
        <v>0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12">
        <f t="shared" si="2"/>
        <v>0</v>
      </c>
    </row>
    <row r="28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12">
        <f t="shared" si="2"/>
        <v>0</v>
      </c>
    </row>
    <row r="29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12">
        <f t="shared" si="2"/>
        <v>0</v>
      </c>
    </row>
    <row r="3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12">
        <f t="shared" si="2"/>
        <v>0</v>
      </c>
    </row>
    <row r="31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12">
        <f t="shared" si="2"/>
        <v>0</v>
      </c>
    </row>
    <row r="32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12">
        <f t="shared" si="2"/>
        <v>0</v>
      </c>
    </row>
    <row r="33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12">
        <f t="shared" si="2"/>
        <v>0</v>
      </c>
    </row>
    <row r="34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12">
        <f t="shared" si="2"/>
        <v>0</v>
      </c>
    </row>
    <row r="3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12">
        <f t="shared" si="2"/>
        <v>0</v>
      </c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12">
        <f t="shared" si="2"/>
        <v>0</v>
      </c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12">
        <f t="shared" si="2"/>
        <v>0</v>
      </c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12">
        <f t="shared" si="2"/>
        <v>0</v>
      </c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12">
        <f t="shared" si="2"/>
        <v>0</v>
      </c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12">
        <f t="shared" si="2"/>
        <v>0</v>
      </c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12">
        <f t="shared" si="2"/>
        <v>0</v>
      </c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12">
        <f t="shared" si="2"/>
        <v>0</v>
      </c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12">
        <f t="shared" si="2"/>
        <v>0</v>
      </c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12">
        <f t="shared" si="2"/>
        <v>0</v>
      </c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2">
        <f t="shared" si="2"/>
        <v>0</v>
      </c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2">
        <f t="shared" si="2"/>
        <v>0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329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22</v>
      </c>
      <c r="E4" s="7">
        <f t="shared" ref="E4:E8" si="1">C4*D4</f>
        <v>187000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1</v>
      </c>
      <c r="E5" s="7">
        <f t="shared" si="1"/>
        <v>8000</v>
      </c>
    </row>
    <row r="6" ht="19.5" customHeight="1">
      <c r="A6" s="2" t="s">
        <v>9</v>
      </c>
      <c r="B6" s="4"/>
      <c r="C6" s="7">
        <v>32700.0</v>
      </c>
      <c r="D6" s="10">
        <v>0.0</v>
      </c>
      <c r="E6" s="7">
        <f t="shared" si="1"/>
        <v>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2</v>
      </c>
      <c r="E7" s="7">
        <f t="shared" si="1"/>
        <v>9000</v>
      </c>
    </row>
    <row r="8" ht="19.5" customHeight="1">
      <c r="A8" s="2" t="s">
        <v>11</v>
      </c>
      <c r="B8" s="4"/>
      <c r="C8" s="7">
        <v>500.0</v>
      </c>
      <c r="D8" s="5">
        <f>D4-COUNT(H14:H201)</f>
        <v>22</v>
      </c>
      <c r="E8" s="7">
        <f t="shared" si="1"/>
        <v>11000</v>
      </c>
    </row>
    <row r="9" ht="19.5" customHeight="1">
      <c r="A9" s="9"/>
      <c r="B9" s="9"/>
      <c r="C9" s="9"/>
      <c r="D9" s="10" t="s">
        <v>5</v>
      </c>
      <c r="E9" s="11">
        <f>SUM(E4:E8)</f>
        <v>215000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IFERROR(__xludf.DUMMYFUNCTION("FILTER('個人別エントリー'!C2:L1018,'個人別エントリー'!B2:B1018=A1)"),310302.0)</f>
        <v>310302</v>
      </c>
      <c r="B14" s="5" t="str">
        <f>IFERROR(__xludf.DUMMYFUNCTION("""COMPUTED_VALUE"""),"佐塚真奈")</f>
        <v>佐塚真奈</v>
      </c>
      <c r="C14" s="5" t="str">
        <f>IFERROR(__xludf.DUMMYFUNCTION("""COMPUTED_VALUE"""),"さづかまな")</f>
        <v>さづかまな</v>
      </c>
      <c r="D14" s="5">
        <f>IFERROR(__xludf.DUMMYFUNCTION("""COMPUTED_VALUE"""),1.0)</f>
        <v>1</v>
      </c>
      <c r="E14" s="5" t="str">
        <f>IFERROR(__xludf.DUMMYFUNCTION("""COMPUTED_VALUE"""),"女")</f>
        <v>女</v>
      </c>
      <c r="F14" s="5" t="str">
        <f>IFERROR(__xludf.DUMMYFUNCTION("""COMPUTED_VALUE"""),"WUF")</f>
        <v>WUF</v>
      </c>
      <c r="G14" s="5" t="str">
        <f>IFERROR(__xludf.DUMMYFUNCTION("""COMPUTED_VALUE"""),"○出場")</f>
        <v>○出場</v>
      </c>
      <c r="H14" s="5"/>
      <c r="I14" s="5" t="str">
        <f>IFERROR(__xludf.DUMMYFUNCTION("""COMPUTED_VALUE"""),"○参加する")</f>
        <v>○参加する</v>
      </c>
      <c r="J14" s="5" t="str">
        <f>IFERROR(__xludf.DUMMYFUNCTION("""COMPUTED_VALUE"""),"3月15、16日")</f>
        <v>3月15、16日</v>
      </c>
      <c r="K14" s="12">
        <f t="shared" ref="K14:K201" si="2">IF(AND(OR(F14="×欠場",F14=""),OR(G14="×欠場",G14="")),0,1)</f>
        <v>1</v>
      </c>
      <c r="M14" s="5" t="str">
        <f>IFERROR(__xludf.DUMMYFUNCTION("FILTER('リレー内容'!$C$2:$K$51,'リレー内容'!$B$2:$B$51=A1)"),"○出場")</f>
        <v>○出場</v>
      </c>
      <c r="N14" s="5" t="str">
        <f>IFERROR(__xludf.DUMMYFUNCTION("""COMPUTED_VALUE"""),"○出場")</f>
        <v>○出場</v>
      </c>
      <c r="O14" s="5">
        <f>IFERROR(__xludf.DUMMYFUNCTION("""COMPUTED_VALUE"""),4.0)</f>
        <v>4</v>
      </c>
      <c r="P14" s="5">
        <f>IFERROR(__xludf.DUMMYFUNCTION("""COMPUTED_VALUE"""),2.0)</f>
        <v>2</v>
      </c>
      <c r="Q14" s="5">
        <f>IFERROR(__xludf.DUMMYFUNCTION("""COMPUTED_VALUE"""),0.0)</f>
        <v>0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IFERROR(__xludf.DUMMYFUNCTION("""COMPUTED_VALUE"""),310304.0)</f>
        <v>310304</v>
      </c>
      <c r="B15" s="5" t="str">
        <f>IFERROR(__xludf.DUMMYFUNCTION("""COMPUTED_VALUE"""),"船橋河輝")</f>
        <v>船橋河輝</v>
      </c>
      <c r="C15" s="5" t="str">
        <f>IFERROR(__xludf.DUMMYFUNCTION("""COMPUTED_VALUE"""),"ふなはしこうき")</f>
        <v>ふなはしこうき</v>
      </c>
      <c r="D15" s="5">
        <f>IFERROR(__xludf.DUMMYFUNCTION("""COMPUTED_VALUE"""),1.0)</f>
        <v>1</v>
      </c>
      <c r="E15" s="5" t="str">
        <f>IFERROR(__xludf.DUMMYFUNCTION("""COMPUTED_VALUE"""),"男")</f>
        <v>男</v>
      </c>
      <c r="F15" s="5" t="str">
        <f>IFERROR(__xludf.DUMMYFUNCTION("""COMPUTED_VALUE"""),"MUF")</f>
        <v>MUF</v>
      </c>
      <c r="G15" s="5" t="str">
        <f>IFERROR(__xludf.DUMMYFUNCTION("""COMPUTED_VALUE"""),"○出場")</f>
        <v>○出場</v>
      </c>
      <c r="H15" s="5"/>
      <c r="I15" s="5" t="str">
        <f>IFERROR(__xludf.DUMMYFUNCTION("""COMPUTED_VALUE"""),"○参加する")</f>
        <v>○参加する</v>
      </c>
      <c r="J15" s="5" t="str">
        <f>IFERROR(__xludf.DUMMYFUNCTION("""COMPUTED_VALUE"""),"3月15、16日")</f>
        <v>3月15、16日</v>
      </c>
      <c r="K15" s="12">
        <f t="shared" si="2"/>
        <v>1</v>
      </c>
    </row>
    <row r="16" ht="19.5" customHeight="1">
      <c r="A16" s="5">
        <f>IFERROR(__xludf.DUMMYFUNCTION("""COMPUTED_VALUE"""),310307.0)</f>
        <v>310307</v>
      </c>
      <c r="B16" s="5" t="str">
        <f>IFERROR(__xludf.DUMMYFUNCTION("""COMPUTED_VALUE"""),"溝端宏司")</f>
        <v>溝端宏司</v>
      </c>
      <c r="C16" s="5" t="str">
        <f>IFERROR(__xludf.DUMMYFUNCTION("""COMPUTED_VALUE"""),"みぞばたひろし")</f>
        <v>みぞばたひろし</v>
      </c>
      <c r="D16" s="5">
        <f>IFERROR(__xludf.DUMMYFUNCTION("""COMPUTED_VALUE"""),1.0)</f>
        <v>1</v>
      </c>
      <c r="E16" s="5" t="str">
        <f>IFERROR(__xludf.DUMMYFUNCTION("""COMPUTED_VALUE"""),"男")</f>
        <v>男</v>
      </c>
      <c r="F16" s="5" t="str">
        <f>IFERROR(__xludf.DUMMYFUNCTION("""COMPUTED_VALUE"""),"MUF")</f>
        <v>MUF</v>
      </c>
      <c r="G16" s="5" t="str">
        <f>IFERROR(__xludf.DUMMYFUNCTION("""COMPUTED_VALUE"""),"○出場")</f>
        <v>○出場</v>
      </c>
      <c r="H16" s="5"/>
      <c r="I16" s="5" t="str">
        <f>IFERROR(__xludf.DUMMYFUNCTION("""COMPUTED_VALUE"""),"○参加する")</f>
        <v>○参加する</v>
      </c>
      <c r="J16" s="5" t="str">
        <f>IFERROR(__xludf.DUMMYFUNCTION("""COMPUTED_VALUE"""),"3月15、16日")</f>
        <v>3月15、16日</v>
      </c>
      <c r="K16" s="12">
        <f t="shared" si="2"/>
        <v>1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>
        <f>IFERROR(__xludf.DUMMYFUNCTION("""COMPUTED_VALUE"""),310308.0)</f>
        <v>310308</v>
      </c>
      <c r="B17" s="5" t="str">
        <f>IFERROR(__xludf.DUMMYFUNCTION("""COMPUTED_VALUE"""),"佐藤愛莉")</f>
        <v>佐藤愛莉</v>
      </c>
      <c r="C17" s="5" t="str">
        <f>IFERROR(__xludf.DUMMYFUNCTION("""COMPUTED_VALUE"""),"さとうあいり")</f>
        <v>さとうあいり</v>
      </c>
      <c r="D17" s="5">
        <f>IFERROR(__xludf.DUMMYFUNCTION("""COMPUTED_VALUE"""),1.0)</f>
        <v>1</v>
      </c>
      <c r="E17" s="5" t="str">
        <f>IFERROR(__xludf.DUMMYFUNCTION("""COMPUTED_VALUE"""),"女")</f>
        <v>女</v>
      </c>
      <c r="F17" s="5" t="str">
        <f>IFERROR(__xludf.DUMMYFUNCTION("""COMPUTED_VALUE"""),"WUF")</f>
        <v>WUF</v>
      </c>
      <c r="G17" s="5" t="str">
        <f>IFERROR(__xludf.DUMMYFUNCTION("""COMPUTED_VALUE"""),"○出場")</f>
        <v>○出場</v>
      </c>
      <c r="H17" s="5"/>
      <c r="I17" s="5" t="str">
        <f>IFERROR(__xludf.DUMMYFUNCTION("""COMPUTED_VALUE"""),"○参加する")</f>
        <v>○参加する</v>
      </c>
      <c r="J17" s="5" t="str">
        <f>IFERROR(__xludf.DUMMYFUNCTION("""COMPUTED_VALUE"""),"3月15、16日")</f>
        <v>3月15、16日</v>
      </c>
      <c r="K17" s="12">
        <f t="shared" si="2"/>
        <v>1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>
        <f>IFERROR(__xludf.DUMMYFUNCTION("""COMPUTED_VALUE"""),310309.0)</f>
        <v>310309</v>
      </c>
      <c r="B18" s="5" t="str">
        <f>IFERROR(__xludf.DUMMYFUNCTION("""COMPUTED_VALUE"""),"齋藤梢")</f>
        <v>齋藤梢</v>
      </c>
      <c r="C18" s="5" t="str">
        <f>IFERROR(__xludf.DUMMYFUNCTION("""COMPUTED_VALUE"""),"さいとうこずえ")</f>
        <v>さいとうこずえ</v>
      </c>
      <c r="D18" s="5">
        <f>IFERROR(__xludf.DUMMYFUNCTION("""COMPUTED_VALUE"""),1.0)</f>
        <v>1</v>
      </c>
      <c r="E18" s="5" t="str">
        <f>IFERROR(__xludf.DUMMYFUNCTION("""COMPUTED_VALUE"""),"女")</f>
        <v>女</v>
      </c>
      <c r="F18" s="5" t="str">
        <f>IFERROR(__xludf.DUMMYFUNCTION("""COMPUTED_VALUE"""),"WUF")</f>
        <v>WUF</v>
      </c>
      <c r="G18" s="5" t="str">
        <f>IFERROR(__xludf.DUMMYFUNCTION("""COMPUTED_VALUE"""),"○出場")</f>
        <v>○出場</v>
      </c>
      <c r="H18" s="5"/>
      <c r="I18" s="5" t="str">
        <f>IFERROR(__xludf.DUMMYFUNCTION("""COMPUTED_VALUE"""),"○参加する")</f>
        <v>○参加する</v>
      </c>
      <c r="J18" s="5" t="str">
        <f>IFERROR(__xludf.DUMMYFUNCTION("""COMPUTED_VALUE"""),"3月15、16日")</f>
        <v>3月15、16日</v>
      </c>
      <c r="K18" s="12">
        <f t="shared" si="2"/>
        <v>1</v>
      </c>
      <c r="M18" s="5" t="s">
        <v>28</v>
      </c>
      <c r="N18" s="2" t="s">
        <v>329</v>
      </c>
      <c r="O18" s="4"/>
      <c r="P18" s="2" t="s">
        <v>2318</v>
      </c>
      <c r="Q18" s="3"/>
      <c r="R18" s="3"/>
      <c r="S18" s="3"/>
      <c r="T18" s="3"/>
      <c r="U18" s="4"/>
    </row>
    <row r="19" ht="19.5" customHeight="1">
      <c r="A19" s="5">
        <f>IFERROR(__xludf.DUMMYFUNCTION("""COMPUTED_VALUE"""),310311.0)</f>
        <v>310311</v>
      </c>
      <c r="B19" s="5" t="str">
        <f>IFERROR(__xludf.DUMMYFUNCTION("""COMPUTED_VALUE"""),"地田朋祐")</f>
        <v>地田朋祐</v>
      </c>
      <c r="C19" s="5" t="str">
        <f>IFERROR(__xludf.DUMMYFUNCTION("""COMPUTED_VALUE"""),"ちだともひろ")</f>
        <v>ちだともひろ</v>
      </c>
      <c r="D19" s="5">
        <f>IFERROR(__xludf.DUMMYFUNCTION("""COMPUTED_VALUE"""),1.0)</f>
        <v>1</v>
      </c>
      <c r="E19" s="5" t="str">
        <f>IFERROR(__xludf.DUMMYFUNCTION("""COMPUTED_VALUE"""),"男")</f>
        <v>男</v>
      </c>
      <c r="F19" s="5" t="str">
        <f>IFERROR(__xludf.DUMMYFUNCTION("""COMPUTED_VALUE"""),"MUF")</f>
        <v>MUF</v>
      </c>
      <c r="G19" s="5" t="str">
        <f>IFERROR(__xludf.DUMMYFUNCTION("""COMPUTED_VALUE"""),"○出場")</f>
        <v>○出場</v>
      </c>
      <c r="H19" s="5"/>
      <c r="I19" s="5" t="str">
        <f>IFERROR(__xludf.DUMMYFUNCTION("""COMPUTED_VALUE"""),"○参加する")</f>
        <v>○参加する</v>
      </c>
      <c r="J19" s="5" t="str">
        <f>IFERROR(__xludf.DUMMYFUNCTION("""COMPUTED_VALUE"""),"3月15、16日")</f>
        <v>3月15、16日</v>
      </c>
      <c r="K19" s="12">
        <f t="shared" si="2"/>
        <v>1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>
        <f>IFERROR(__xludf.DUMMYFUNCTION("""COMPUTED_VALUE"""),310313.0)</f>
        <v>310313</v>
      </c>
      <c r="B20" s="5" t="str">
        <f>IFERROR(__xludf.DUMMYFUNCTION("""COMPUTED_VALUE"""),"木村野乃子")</f>
        <v>木村野乃子</v>
      </c>
      <c r="C20" s="5" t="str">
        <f>IFERROR(__xludf.DUMMYFUNCTION("""COMPUTED_VALUE"""),"きむらののこ")</f>
        <v>きむらののこ</v>
      </c>
      <c r="D20" s="5">
        <f>IFERROR(__xludf.DUMMYFUNCTION("""COMPUTED_VALUE"""),1.0)</f>
        <v>1</v>
      </c>
      <c r="E20" s="5" t="str">
        <f>IFERROR(__xludf.DUMMYFUNCTION("""COMPUTED_VALUE"""),"女")</f>
        <v>女</v>
      </c>
      <c r="F20" s="5" t="str">
        <f>IFERROR(__xludf.DUMMYFUNCTION("""COMPUTED_VALUE"""),"WUF")</f>
        <v>WUF</v>
      </c>
      <c r="G20" s="5" t="str">
        <f>IFERROR(__xludf.DUMMYFUNCTION("""COMPUTED_VALUE"""),"○出場")</f>
        <v>○出場</v>
      </c>
      <c r="H20" s="5"/>
      <c r="I20" s="5" t="str">
        <f>IFERROR(__xludf.DUMMYFUNCTION("""COMPUTED_VALUE"""),"○参加する")</f>
        <v>○参加する</v>
      </c>
      <c r="J20" s="5" t="str">
        <f>IFERROR(__xludf.DUMMYFUNCTION("""COMPUTED_VALUE"""),"3月15、16日")</f>
        <v>3月15、16日</v>
      </c>
      <c r="K20" s="12">
        <f t="shared" si="2"/>
        <v>1</v>
      </c>
    </row>
    <row r="21" ht="19.5" customHeight="1">
      <c r="A21" s="5">
        <f>IFERROR(__xludf.DUMMYFUNCTION("""COMPUTED_VALUE"""),310316.0)</f>
        <v>310316</v>
      </c>
      <c r="B21" s="5" t="str">
        <f>IFERROR(__xludf.DUMMYFUNCTION("""COMPUTED_VALUE"""),"丸山仁一")</f>
        <v>丸山仁一</v>
      </c>
      <c r="C21" s="5" t="str">
        <f>IFERROR(__xludf.DUMMYFUNCTION("""COMPUTED_VALUE"""),"まるやまじんいち")</f>
        <v>まるやまじんいち</v>
      </c>
      <c r="D21" s="5">
        <f>IFERROR(__xludf.DUMMYFUNCTION("""COMPUTED_VALUE"""),1.0)</f>
        <v>1</v>
      </c>
      <c r="E21" s="5" t="str">
        <f>IFERROR(__xludf.DUMMYFUNCTION("""COMPUTED_VALUE"""),"男")</f>
        <v>男</v>
      </c>
      <c r="F21" s="5" t="str">
        <f>IFERROR(__xludf.DUMMYFUNCTION("""COMPUTED_VALUE"""),"MUF")</f>
        <v>MUF</v>
      </c>
      <c r="G21" s="5" t="str">
        <f>IFERROR(__xludf.DUMMYFUNCTION("""COMPUTED_VALUE"""),"○出場")</f>
        <v>○出場</v>
      </c>
      <c r="H21" s="5"/>
      <c r="I21" s="5" t="str">
        <f>IFERROR(__xludf.DUMMYFUNCTION("""COMPUTED_VALUE"""),"○参加する")</f>
        <v>○参加する</v>
      </c>
      <c r="J21" s="5" t="str">
        <f>IFERROR(__xludf.DUMMYFUNCTION("""COMPUTED_VALUE"""),"3月15、16日")</f>
        <v>3月15、16日</v>
      </c>
      <c r="K21" s="12">
        <f t="shared" si="2"/>
        <v>1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>
        <f>IFERROR(__xludf.DUMMYFUNCTION("""COMPUTED_VALUE"""),310317.0)</f>
        <v>310317</v>
      </c>
      <c r="B22" s="5" t="str">
        <f>IFERROR(__xludf.DUMMYFUNCTION("""COMPUTED_VALUE"""),"小林若菜")</f>
        <v>小林若菜</v>
      </c>
      <c r="C22" s="5" t="str">
        <f>IFERROR(__xludf.DUMMYFUNCTION("""COMPUTED_VALUE"""),"こばやしわかな")</f>
        <v>こばやしわかな</v>
      </c>
      <c r="D22" s="5">
        <f>IFERROR(__xludf.DUMMYFUNCTION("""COMPUTED_VALUE"""),1.0)</f>
        <v>1</v>
      </c>
      <c r="E22" s="5" t="str">
        <f>IFERROR(__xludf.DUMMYFUNCTION("""COMPUTED_VALUE"""),"女")</f>
        <v>女</v>
      </c>
      <c r="F22" s="5" t="str">
        <f>IFERROR(__xludf.DUMMYFUNCTION("""COMPUTED_VALUE"""),"WUF")</f>
        <v>WUF</v>
      </c>
      <c r="G22" s="5" t="str">
        <f>IFERROR(__xludf.DUMMYFUNCTION("""COMPUTED_VALUE"""),"○出場")</f>
        <v>○出場</v>
      </c>
      <c r="H22" s="5"/>
      <c r="I22" s="5" t="str">
        <f>IFERROR(__xludf.DUMMYFUNCTION("""COMPUTED_VALUE"""),"○参加する")</f>
        <v>○参加する</v>
      </c>
      <c r="J22" s="5" t="str">
        <f>IFERROR(__xludf.DUMMYFUNCTION("""COMPUTED_VALUE"""),"3月15、16日")</f>
        <v>3月15、16日</v>
      </c>
      <c r="K22" s="12">
        <f t="shared" si="2"/>
        <v>1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>
        <f>IFERROR(__xludf.DUMMYFUNCTION("""COMPUTED_VALUE"""),210301.0)</f>
        <v>210301</v>
      </c>
      <c r="B23" s="5" t="str">
        <f>IFERROR(__xludf.DUMMYFUNCTION("""COMPUTED_VALUE"""),"岩沢優真")</f>
        <v>岩沢優真</v>
      </c>
      <c r="C23" s="5" t="str">
        <f>IFERROR(__xludf.DUMMYFUNCTION("""COMPUTED_VALUE"""),"いわさわゆうま")</f>
        <v>いわさわゆうま</v>
      </c>
      <c r="D23" s="5">
        <f>IFERROR(__xludf.DUMMYFUNCTION("""COMPUTED_VALUE"""),2.0)</f>
        <v>2</v>
      </c>
      <c r="E23" s="5" t="str">
        <f>IFERROR(__xludf.DUMMYFUNCTION("""COMPUTED_VALUE"""),"男")</f>
        <v>男</v>
      </c>
      <c r="F23" s="5" t="str">
        <f>IFERROR(__xludf.DUMMYFUNCTION("""COMPUTED_VALUE"""),"MUA")</f>
        <v>MUA</v>
      </c>
      <c r="G23" s="5" t="str">
        <f>IFERROR(__xludf.DUMMYFUNCTION("""COMPUTED_VALUE"""),"○出場")</f>
        <v>○出場</v>
      </c>
      <c r="H23" s="5"/>
      <c r="I23" s="5" t="str">
        <f>IFERROR(__xludf.DUMMYFUNCTION("""COMPUTED_VALUE"""),"○参加する")</f>
        <v>○参加する</v>
      </c>
      <c r="J23" s="5" t="str">
        <f>IFERROR(__xludf.DUMMYFUNCTION("""COMPUTED_VALUE"""),"3月15、16日")</f>
        <v>3月15、16日</v>
      </c>
      <c r="K23" s="12">
        <f t="shared" si="2"/>
        <v>1</v>
      </c>
      <c r="M23" s="2" t="str">
        <f>IFERROR(__xludf.DUMMYFUNCTION("FILTER('オフィシャル'!$B$2:$B$65,'オフィシャル'!$A$2:$A$65=A1)"),"堂垂悠人")</f>
        <v>堂垂悠人</v>
      </c>
      <c r="N23" s="4"/>
      <c r="O23" s="2" t="str">
        <f>IFERROR(__xludf.DUMMYFUNCTION("FILTER('オフィシャル'!$C$2:$C$65,'オフィシャル'!$A$2:$A$65=A1)"),"どうたれゆうと")</f>
        <v>どうたれゆうと</v>
      </c>
      <c r="P23" s="3"/>
      <c r="Q23" s="5" t="str">
        <f>IFERROR(__xludf.DUMMYFUNCTION("FILTER('オフィシャル'!$D$2:$D$65,'オフィシャル'!$A$2:$A$65=A1)"),"男")</f>
        <v>男</v>
      </c>
      <c r="R23" s="2" t="str">
        <f>IFERROR(__xludf.DUMMYFUNCTION("FILTER('オフィシャル'!$E$2:$E$65,'オフィシャル'!$A$2:$A$65=A1)"),"×しない")</f>
        <v>×しない</v>
      </c>
      <c r="S23" s="4"/>
      <c r="T23" s="14" t="str">
        <f>IFERROR(__xludf.DUMMYFUNCTION("FILTER('オフィシャル'!$F$2:$F$65,'オフィシャル'!$A$2:$A$65=A1)"),"3月15、16日")</f>
        <v>3月15、16日</v>
      </c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>
        <f>IFERROR(__xludf.DUMMYFUNCTION("""COMPUTED_VALUE"""),210302.0)</f>
        <v>210302</v>
      </c>
      <c r="B24" s="5" t="str">
        <f>IFERROR(__xludf.DUMMYFUNCTION("""COMPUTED_VALUE"""),"羽田直樹")</f>
        <v>羽田直樹</v>
      </c>
      <c r="C24" s="5" t="str">
        <f>IFERROR(__xludf.DUMMYFUNCTION("""COMPUTED_VALUE"""),"はだなおき")</f>
        <v>はだなおき</v>
      </c>
      <c r="D24" s="5">
        <f>IFERROR(__xludf.DUMMYFUNCTION("""COMPUTED_VALUE"""),2.0)</f>
        <v>2</v>
      </c>
      <c r="E24" s="5" t="str">
        <f>IFERROR(__xludf.DUMMYFUNCTION("""COMPUTED_VALUE"""),"男")</f>
        <v>男</v>
      </c>
      <c r="F24" s="5" t="str">
        <f>IFERROR(__xludf.DUMMYFUNCTION("""COMPUTED_VALUE"""),"MUA")</f>
        <v>MUA</v>
      </c>
      <c r="G24" s="5" t="str">
        <f>IFERROR(__xludf.DUMMYFUNCTION("""COMPUTED_VALUE"""),"○出場")</f>
        <v>○出場</v>
      </c>
      <c r="H24" s="5"/>
      <c r="I24" s="5" t="str">
        <f>IFERROR(__xludf.DUMMYFUNCTION("""COMPUTED_VALUE"""),"○参加する")</f>
        <v>○参加する</v>
      </c>
      <c r="J24" s="5" t="str">
        <f>IFERROR(__xludf.DUMMYFUNCTION("""COMPUTED_VALUE"""),"3月15、16日")</f>
        <v>3月15、16日</v>
      </c>
      <c r="K24" s="12">
        <f t="shared" si="2"/>
        <v>1</v>
      </c>
      <c r="M24" s="2"/>
      <c r="N24" s="4"/>
      <c r="O24" s="2"/>
      <c r="P24" s="3"/>
      <c r="Q24" s="5"/>
      <c r="R24" s="2"/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>
        <f>IFERROR(__xludf.DUMMYFUNCTION("""COMPUTED_VALUE"""),210305.0)</f>
        <v>210305</v>
      </c>
      <c r="B25" s="5" t="str">
        <f>IFERROR(__xludf.DUMMYFUNCTION("""COMPUTED_VALUE"""),"鈴木敬太")</f>
        <v>鈴木敬太</v>
      </c>
      <c r="C25" s="5" t="str">
        <f>IFERROR(__xludf.DUMMYFUNCTION("""COMPUTED_VALUE"""),"すずきけいた")</f>
        <v>すずきけいた</v>
      </c>
      <c r="D25" s="5">
        <f>IFERROR(__xludf.DUMMYFUNCTION("""COMPUTED_VALUE"""),2.0)</f>
        <v>2</v>
      </c>
      <c r="E25" s="5" t="str">
        <f>IFERROR(__xludf.DUMMYFUNCTION("""COMPUTED_VALUE"""),"男")</f>
        <v>男</v>
      </c>
      <c r="F25" s="5" t="str">
        <f>IFERROR(__xludf.DUMMYFUNCTION("""COMPUTED_VALUE"""),"MUA")</f>
        <v>MUA</v>
      </c>
      <c r="G25" s="5" t="str">
        <f>IFERROR(__xludf.DUMMYFUNCTION("""COMPUTED_VALUE"""),"○出場")</f>
        <v>○出場</v>
      </c>
      <c r="H25" s="5"/>
      <c r="I25" s="5" t="str">
        <f>IFERROR(__xludf.DUMMYFUNCTION("""COMPUTED_VALUE"""),"×参加しない")</f>
        <v>×参加しない</v>
      </c>
      <c r="J25" s="5" t="str">
        <f>IFERROR(__xludf.DUMMYFUNCTION("""COMPUTED_VALUE"""),"3月15、16日")</f>
        <v>3月15、16日</v>
      </c>
      <c r="K25" s="12">
        <f t="shared" si="2"/>
        <v>1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>
        <f>IFERROR(__xludf.DUMMYFUNCTION("""COMPUTED_VALUE"""),210309.0)</f>
        <v>210309</v>
      </c>
      <c r="B26" s="5" t="str">
        <f>IFERROR(__xludf.DUMMYFUNCTION("""COMPUTED_VALUE"""),"坂本拓登")</f>
        <v>坂本拓登</v>
      </c>
      <c r="C26" s="5" t="str">
        <f>IFERROR(__xludf.DUMMYFUNCTION("""COMPUTED_VALUE"""),"さかもとたくと")</f>
        <v>さかもとたくと</v>
      </c>
      <c r="D26" s="5">
        <f>IFERROR(__xludf.DUMMYFUNCTION("""COMPUTED_VALUE"""),2.0)</f>
        <v>2</v>
      </c>
      <c r="E26" s="5" t="str">
        <f>IFERROR(__xludf.DUMMYFUNCTION("""COMPUTED_VALUE"""),"男")</f>
        <v>男</v>
      </c>
      <c r="F26" s="5" t="str">
        <f>IFERROR(__xludf.DUMMYFUNCTION("""COMPUTED_VALUE"""),"MUA")</f>
        <v>MUA</v>
      </c>
      <c r="G26" s="5" t="str">
        <f>IFERROR(__xludf.DUMMYFUNCTION("""COMPUTED_VALUE"""),"○出場")</f>
        <v>○出場</v>
      </c>
      <c r="H26" s="5"/>
      <c r="I26" s="5" t="str">
        <f>IFERROR(__xludf.DUMMYFUNCTION("""COMPUTED_VALUE"""),"○参加する")</f>
        <v>○参加する</v>
      </c>
      <c r="J26" s="5" t="str">
        <f>IFERROR(__xludf.DUMMYFUNCTION("""COMPUTED_VALUE"""),"3月15、16日")</f>
        <v>3月15、16日</v>
      </c>
      <c r="K26" s="12">
        <f t="shared" si="2"/>
        <v>1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>
        <f>IFERROR(__xludf.DUMMYFUNCTION("""COMPUTED_VALUE"""),210311.0)</f>
        <v>210311</v>
      </c>
      <c r="B27" s="5" t="str">
        <f>IFERROR(__xludf.DUMMYFUNCTION("""COMPUTED_VALUE"""),"土田隼人")</f>
        <v>土田隼人</v>
      </c>
      <c r="C27" s="5" t="str">
        <f>IFERROR(__xludf.DUMMYFUNCTION("""COMPUTED_VALUE"""),"つちだはやと")</f>
        <v>つちだはやと</v>
      </c>
      <c r="D27" s="5">
        <f>IFERROR(__xludf.DUMMYFUNCTION("""COMPUTED_VALUE"""),2.0)</f>
        <v>2</v>
      </c>
      <c r="E27" s="5" t="str">
        <f>IFERROR(__xludf.DUMMYFUNCTION("""COMPUTED_VALUE"""),"男")</f>
        <v>男</v>
      </c>
      <c r="F27" s="5" t="str">
        <f>IFERROR(__xludf.DUMMYFUNCTION("""COMPUTED_VALUE"""),"MUA")</f>
        <v>MUA</v>
      </c>
      <c r="G27" s="5" t="str">
        <f>IFERROR(__xludf.DUMMYFUNCTION("""COMPUTED_VALUE"""),"○出場")</f>
        <v>○出場</v>
      </c>
      <c r="H27" s="5"/>
      <c r="I27" s="5" t="str">
        <f>IFERROR(__xludf.DUMMYFUNCTION("""COMPUTED_VALUE"""),"○参加する")</f>
        <v>○参加する</v>
      </c>
      <c r="J27" s="5" t="str">
        <f>IFERROR(__xludf.DUMMYFUNCTION("""COMPUTED_VALUE"""),"3月15、16日")</f>
        <v>3月15、16日</v>
      </c>
      <c r="K27" s="12">
        <f t="shared" si="2"/>
        <v>1</v>
      </c>
    </row>
    <row r="28" ht="19.5" customHeight="1">
      <c r="A28" s="5">
        <f>IFERROR(__xludf.DUMMYFUNCTION("""COMPUTED_VALUE"""),210313.0)</f>
        <v>210313</v>
      </c>
      <c r="B28" s="5" t="str">
        <f>IFERROR(__xludf.DUMMYFUNCTION("""COMPUTED_VALUE"""),"泉田弥壱")</f>
        <v>泉田弥壱</v>
      </c>
      <c r="C28" s="5" t="str">
        <f>IFERROR(__xludf.DUMMYFUNCTION("""COMPUTED_VALUE"""),"いずた　やいち")</f>
        <v>いずた　やいち</v>
      </c>
      <c r="D28" s="5">
        <f>IFERROR(__xludf.DUMMYFUNCTION("""COMPUTED_VALUE"""),2.0)</f>
        <v>2</v>
      </c>
      <c r="E28" s="5" t="str">
        <f>IFERROR(__xludf.DUMMYFUNCTION("""COMPUTED_VALUE"""),"男")</f>
        <v>男</v>
      </c>
      <c r="F28" s="5" t="str">
        <f>IFERROR(__xludf.DUMMYFUNCTION("""COMPUTED_VALUE"""),"MUA")</f>
        <v>MUA</v>
      </c>
      <c r="G28" s="5" t="str">
        <f>IFERROR(__xludf.DUMMYFUNCTION("""COMPUTED_VALUE"""),"○出場")</f>
        <v>○出場</v>
      </c>
      <c r="H28" s="5"/>
      <c r="I28" s="5" t="str">
        <f>IFERROR(__xludf.DUMMYFUNCTION("""COMPUTED_VALUE"""),"○参加する")</f>
        <v>○参加する</v>
      </c>
      <c r="J28" s="5" t="str">
        <f>IFERROR(__xludf.DUMMYFUNCTION("""COMPUTED_VALUE"""),"3月15、16日")</f>
        <v>3月15、16日</v>
      </c>
      <c r="K28" s="12">
        <f t="shared" si="2"/>
        <v>1</v>
      </c>
    </row>
    <row r="29" ht="19.5" customHeight="1">
      <c r="A29" s="5">
        <f>IFERROR(__xludf.DUMMYFUNCTION("""COMPUTED_VALUE"""),210314.0)</f>
        <v>210314</v>
      </c>
      <c r="B29" s="5" t="str">
        <f>IFERROR(__xludf.DUMMYFUNCTION("""COMPUTED_VALUE"""),"吉野耀介")</f>
        <v>吉野耀介</v>
      </c>
      <c r="C29" s="5" t="str">
        <f>IFERROR(__xludf.DUMMYFUNCTION("""COMPUTED_VALUE"""),"よしの　ようすけ")</f>
        <v>よしの　ようすけ</v>
      </c>
      <c r="D29" s="5">
        <f>IFERROR(__xludf.DUMMYFUNCTION("""COMPUTED_VALUE"""),2.0)</f>
        <v>2</v>
      </c>
      <c r="E29" s="5" t="str">
        <f>IFERROR(__xludf.DUMMYFUNCTION("""COMPUTED_VALUE"""),"男")</f>
        <v>男</v>
      </c>
      <c r="F29" s="5" t="str">
        <f>IFERROR(__xludf.DUMMYFUNCTION("""COMPUTED_VALUE"""),"MUA")</f>
        <v>MUA</v>
      </c>
      <c r="G29" s="5" t="str">
        <f>IFERROR(__xludf.DUMMYFUNCTION("""COMPUTED_VALUE"""),"○出場")</f>
        <v>○出場</v>
      </c>
      <c r="H29" s="5"/>
      <c r="I29" s="5" t="str">
        <f>IFERROR(__xludf.DUMMYFUNCTION("""COMPUTED_VALUE"""),"○参加する")</f>
        <v>○参加する</v>
      </c>
      <c r="J29" s="5" t="str">
        <f>IFERROR(__xludf.DUMMYFUNCTION("""COMPUTED_VALUE"""),"3月15、16日")</f>
        <v>3月15、16日</v>
      </c>
      <c r="K29" s="12">
        <f t="shared" si="2"/>
        <v>1</v>
      </c>
    </row>
    <row r="30" ht="19.5" customHeight="1">
      <c r="A30" s="5">
        <f>IFERROR(__xludf.DUMMYFUNCTION("""COMPUTED_VALUE"""),210316.0)</f>
        <v>210316</v>
      </c>
      <c r="B30" s="5" t="str">
        <f>IFERROR(__xludf.DUMMYFUNCTION("""COMPUTED_VALUE"""),"大音紗希")</f>
        <v>大音紗希</v>
      </c>
      <c r="C30" s="5" t="str">
        <f>IFERROR(__xludf.DUMMYFUNCTION("""COMPUTED_VALUE"""),"おおと　さき")</f>
        <v>おおと　さき</v>
      </c>
      <c r="D30" s="5">
        <f>IFERROR(__xludf.DUMMYFUNCTION("""COMPUTED_VALUE"""),2.0)</f>
        <v>2</v>
      </c>
      <c r="E30" s="5" t="str">
        <f>IFERROR(__xludf.DUMMYFUNCTION("""COMPUTED_VALUE"""),"女")</f>
        <v>女</v>
      </c>
      <c r="F30" s="5" t="str">
        <f>IFERROR(__xludf.DUMMYFUNCTION("""COMPUTED_VALUE"""),"WUA")</f>
        <v>WUA</v>
      </c>
      <c r="G30" s="5" t="str">
        <f>IFERROR(__xludf.DUMMYFUNCTION("""COMPUTED_VALUE"""),"○出場")</f>
        <v>○出場</v>
      </c>
      <c r="H30" s="5"/>
      <c r="I30" s="5" t="str">
        <f>IFERROR(__xludf.DUMMYFUNCTION("""COMPUTED_VALUE"""),"○参加する")</f>
        <v>○参加する</v>
      </c>
      <c r="J30" s="5" t="str">
        <f>IFERROR(__xludf.DUMMYFUNCTION("""COMPUTED_VALUE"""),"3月15、16日")</f>
        <v>3月15、16日</v>
      </c>
      <c r="K30" s="12">
        <f t="shared" si="2"/>
        <v>1</v>
      </c>
    </row>
    <row r="31" ht="19.5" customHeight="1">
      <c r="A31" s="5">
        <f>IFERROR(__xludf.DUMMYFUNCTION("""COMPUTED_VALUE"""),110302.0)</f>
        <v>110302</v>
      </c>
      <c r="B31" s="5" t="str">
        <f>IFERROR(__xludf.DUMMYFUNCTION("""COMPUTED_VALUE"""),"小浦姿")</f>
        <v>小浦姿</v>
      </c>
      <c r="C31" s="5" t="str">
        <f>IFERROR(__xludf.DUMMYFUNCTION("""COMPUTED_VALUE"""),"こうらすがた")</f>
        <v>こうらすがた</v>
      </c>
      <c r="D31" s="5">
        <f>IFERROR(__xludf.DUMMYFUNCTION("""COMPUTED_VALUE"""),3.0)</f>
        <v>3</v>
      </c>
      <c r="E31" s="5" t="str">
        <f>IFERROR(__xludf.DUMMYFUNCTION("""COMPUTED_VALUE"""),"男")</f>
        <v>男</v>
      </c>
      <c r="F31" s="5" t="str">
        <f>IFERROR(__xludf.DUMMYFUNCTION("""COMPUTED_VALUE"""),"MUA")</f>
        <v>MUA</v>
      </c>
      <c r="G31" s="5" t="str">
        <f>IFERROR(__xludf.DUMMYFUNCTION("""COMPUTED_VALUE"""),"○出場")</f>
        <v>○出場</v>
      </c>
      <c r="H31" s="5"/>
      <c r="I31" s="5" t="str">
        <f>IFERROR(__xludf.DUMMYFUNCTION("""COMPUTED_VALUE"""),"○参加する")</f>
        <v>○参加する</v>
      </c>
      <c r="J31" s="5" t="str">
        <f>IFERROR(__xludf.DUMMYFUNCTION("""COMPUTED_VALUE"""),"3月15、16日")</f>
        <v>3月15、16日</v>
      </c>
      <c r="K31" s="12">
        <f t="shared" si="2"/>
        <v>1</v>
      </c>
    </row>
    <row r="32" ht="19.5" customHeight="1">
      <c r="A32" s="5">
        <f>IFERROR(__xludf.DUMMYFUNCTION("""COMPUTED_VALUE"""),110309.0)</f>
        <v>110309</v>
      </c>
      <c r="B32" s="5" t="str">
        <f>IFERROR(__xludf.DUMMYFUNCTION("""COMPUTED_VALUE"""),"本多哲大")</f>
        <v>本多哲大</v>
      </c>
      <c r="C32" s="5" t="str">
        <f>IFERROR(__xludf.DUMMYFUNCTION("""COMPUTED_VALUE"""),"ほんだあきひろ")</f>
        <v>ほんだあきひろ</v>
      </c>
      <c r="D32" s="5">
        <f>IFERROR(__xludf.DUMMYFUNCTION("""COMPUTED_VALUE"""),3.0)</f>
        <v>3</v>
      </c>
      <c r="E32" s="5" t="str">
        <f>IFERROR(__xludf.DUMMYFUNCTION("""COMPUTED_VALUE"""),"男")</f>
        <v>男</v>
      </c>
      <c r="F32" s="5" t="str">
        <f>IFERROR(__xludf.DUMMYFUNCTION("""COMPUTED_VALUE"""),"MUA")</f>
        <v>MUA</v>
      </c>
      <c r="G32" s="5" t="str">
        <f>IFERROR(__xludf.DUMMYFUNCTION("""COMPUTED_VALUE"""),"○出場")</f>
        <v>○出場</v>
      </c>
      <c r="H32" s="5"/>
      <c r="I32" s="5" t="str">
        <f>IFERROR(__xludf.DUMMYFUNCTION("""COMPUTED_VALUE"""),"○参加する")</f>
        <v>○参加する</v>
      </c>
      <c r="J32" s="5" t="str">
        <f>IFERROR(__xludf.DUMMYFUNCTION("""COMPUTED_VALUE"""),"3月15、16日")</f>
        <v>3月15、16日</v>
      </c>
      <c r="K32" s="12">
        <f t="shared" si="2"/>
        <v>1</v>
      </c>
    </row>
    <row r="33" ht="19.5" customHeight="1">
      <c r="A33" s="5">
        <f>IFERROR(__xludf.DUMMYFUNCTION("""COMPUTED_VALUE"""),110310.0)</f>
        <v>110310</v>
      </c>
      <c r="B33" s="5" t="str">
        <f>IFERROR(__xludf.DUMMYFUNCTION("""COMPUTED_VALUE"""),"田切香帆")</f>
        <v>田切香帆</v>
      </c>
      <c r="C33" s="5" t="str">
        <f>IFERROR(__xludf.DUMMYFUNCTION("""COMPUTED_VALUE"""),"たぎりかほ")</f>
        <v>たぎりかほ</v>
      </c>
      <c r="D33" s="5">
        <f>IFERROR(__xludf.DUMMYFUNCTION("""COMPUTED_VALUE"""),3.0)</f>
        <v>3</v>
      </c>
      <c r="E33" s="5" t="str">
        <f>IFERROR(__xludf.DUMMYFUNCTION("""COMPUTED_VALUE"""),"女")</f>
        <v>女</v>
      </c>
      <c r="F33" s="5" t="str">
        <f>IFERROR(__xludf.DUMMYFUNCTION("""COMPUTED_VALUE"""),"WUA")</f>
        <v>WUA</v>
      </c>
      <c r="G33" s="5" t="str">
        <f>IFERROR(__xludf.DUMMYFUNCTION("""COMPUTED_VALUE"""),"○出場")</f>
        <v>○出場</v>
      </c>
      <c r="H33" s="5"/>
      <c r="I33" s="5" t="str">
        <f>IFERROR(__xludf.DUMMYFUNCTION("""COMPUTED_VALUE"""),"○参加する")</f>
        <v>○参加する</v>
      </c>
      <c r="J33" s="5" t="str">
        <f>IFERROR(__xludf.DUMMYFUNCTION("""COMPUTED_VALUE"""),"3月15、16日")</f>
        <v>3月15、16日</v>
      </c>
      <c r="K33" s="12">
        <f t="shared" si="2"/>
        <v>1</v>
      </c>
    </row>
    <row r="34" ht="19.5" customHeight="1">
      <c r="A34" s="5">
        <f>IFERROR(__xludf.DUMMYFUNCTION("""COMPUTED_VALUE"""),110311.0)</f>
        <v>110311</v>
      </c>
      <c r="B34" s="5" t="str">
        <f>IFERROR(__xludf.DUMMYFUNCTION("""COMPUTED_VALUE"""),"内潟風翔")</f>
        <v>内潟風翔</v>
      </c>
      <c r="C34" s="5" t="str">
        <f>IFERROR(__xludf.DUMMYFUNCTION("""COMPUTED_VALUE"""),"うちかたかざと")</f>
        <v>うちかたかざと</v>
      </c>
      <c r="D34" s="5">
        <f>IFERROR(__xludf.DUMMYFUNCTION("""COMPUTED_VALUE"""),3.0)</f>
        <v>3</v>
      </c>
      <c r="E34" s="5" t="str">
        <f>IFERROR(__xludf.DUMMYFUNCTION("""COMPUTED_VALUE"""),"男")</f>
        <v>男</v>
      </c>
      <c r="F34" s="5" t="str">
        <f>IFERROR(__xludf.DUMMYFUNCTION("""COMPUTED_VALUE"""),"MUA")</f>
        <v>MUA</v>
      </c>
      <c r="G34" s="5" t="str">
        <f>IFERROR(__xludf.DUMMYFUNCTION("""COMPUTED_VALUE"""),"○出場")</f>
        <v>○出場</v>
      </c>
      <c r="H34" s="5"/>
      <c r="I34" s="5" t="str">
        <f>IFERROR(__xludf.DUMMYFUNCTION("""COMPUTED_VALUE"""),"○参加する")</f>
        <v>○参加する</v>
      </c>
      <c r="J34" s="5" t="str">
        <f>IFERROR(__xludf.DUMMYFUNCTION("""COMPUTED_VALUE"""),"3月15、16日")</f>
        <v>3月15、16日</v>
      </c>
      <c r="K34" s="12">
        <f t="shared" si="2"/>
        <v>1</v>
      </c>
    </row>
    <row r="35" ht="19.5" customHeight="1">
      <c r="A35" s="5">
        <f>IFERROR(__xludf.DUMMYFUNCTION("""COMPUTED_VALUE"""),10302.0)</f>
        <v>10302</v>
      </c>
      <c r="B35" s="5" t="str">
        <f>IFERROR(__xludf.DUMMYFUNCTION("""COMPUTED_VALUE"""),"平野良")</f>
        <v>平野良</v>
      </c>
      <c r="C35" s="5" t="str">
        <f>IFERROR(__xludf.DUMMYFUNCTION("""COMPUTED_VALUE"""),"ひらのりょう")</f>
        <v>ひらのりょう</v>
      </c>
      <c r="D35" s="5">
        <f>IFERROR(__xludf.DUMMYFUNCTION("""COMPUTED_VALUE"""),4.0)</f>
        <v>4</v>
      </c>
      <c r="E35" s="5" t="str">
        <f>IFERROR(__xludf.DUMMYFUNCTION("""COMPUTED_VALUE"""),"男")</f>
        <v>男</v>
      </c>
      <c r="F35" s="5" t="str">
        <f>IFERROR(__xludf.DUMMYFUNCTION("""COMPUTED_VALUE"""),"MUA")</f>
        <v>MUA</v>
      </c>
      <c r="G35" s="5" t="str">
        <f>IFERROR(__xludf.DUMMYFUNCTION("""COMPUTED_VALUE"""),"○出場")</f>
        <v>○出場</v>
      </c>
      <c r="H35" s="5"/>
      <c r="I35" s="5" t="str">
        <f>IFERROR(__xludf.DUMMYFUNCTION("""COMPUTED_VALUE"""),"○参加する")</f>
        <v>○参加する</v>
      </c>
      <c r="J35" s="5" t="str">
        <f>IFERROR(__xludf.DUMMYFUNCTION("""COMPUTED_VALUE"""),"3月15、16日")</f>
        <v>3月15、16日</v>
      </c>
      <c r="K35" s="12">
        <f t="shared" si="2"/>
        <v>1</v>
      </c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12">
        <f t="shared" si="2"/>
        <v>0</v>
      </c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12">
        <f t="shared" si="2"/>
        <v>0</v>
      </c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12">
        <f t="shared" si="2"/>
        <v>0</v>
      </c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12">
        <f t="shared" si="2"/>
        <v>0</v>
      </c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12">
        <f t="shared" si="2"/>
        <v>0</v>
      </c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12">
        <f t="shared" si="2"/>
        <v>0</v>
      </c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12">
        <f t="shared" si="2"/>
        <v>0</v>
      </c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12">
        <f t="shared" si="2"/>
        <v>0</v>
      </c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12">
        <f t="shared" si="2"/>
        <v>0</v>
      </c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2">
        <f t="shared" si="2"/>
        <v>0</v>
      </c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2">
        <f t="shared" si="2"/>
        <v>0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376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3</v>
      </c>
      <c r="E4" s="7">
        <f t="shared" ref="E4:E8" si="1">C4*D4</f>
        <v>25500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0</v>
      </c>
      <c r="E5" s="7">
        <f t="shared" si="1"/>
        <v>0</v>
      </c>
    </row>
    <row r="6" ht="19.5" customHeight="1">
      <c r="A6" s="2" t="s">
        <v>9</v>
      </c>
      <c r="B6" s="4"/>
      <c r="C6" s="7">
        <v>32700.0</v>
      </c>
      <c r="D6" s="5">
        <f>D4+D5</f>
        <v>3</v>
      </c>
      <c r="E6" s="7">
        <f t="shared" si="1"/>
        <v>98100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0</v>
      </c>
      <c r="E7" s="7">
        <f t="shared" si="1"/>
        <v>0</v>
      </c>
    </row>
    <row r="8" ht="19.5" customHeight="1">
      <c r="A8" s="2" t="s">
        <v>11</v>
      </c>
      <c r="B8" s="4"/>
      <c r="C8" s="7">
        <v>500.0</v>
      </c>
      <c r="D8" s="5">
        <f>D4-COUNT(H14:H201)</f>
        <v>0</v>
      </c>
      <c r="E8" s="7">
        <f t="shared" si="1"/>
        <v>0</v>
      </c>
    </row>
    <row r="9" ht="19.5" customHeight="1">
      <c r="A9" s="9"/>
      <c r="B9" s="9"/>
      <c r="C9" s="9"/>
      <c r="D9" s="10" t="s">
        <v>5</v>
      </c>
      <c r="E9" s="11">
        <f>SUM(E4:E8)</f>
        <v>123600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IFERROR(__xludf.DUMMYFUNCTION("FILTER('個人別エントリー'!C2:L1018,'個人別エントリー'!B2:B1018=A1)"),314201.0)</f>
        <v>314201</v>
      </c>
      <c r="B14" s="5" t="str">
        <f>IFERROR(__xludf.DUMMYFUNCTION("""COMPUTED_VALUE"""),"千葉愛莉")</f>
        <v>千葉愛莉</v>
      </c>
      <c r="C14" s="5" t="str">
        <f>IFERROR(__xludf.DUMMYFUNCTION("""COMPUTED_VALUE"""),"ちばあいり")</f>
        <v>ちばあいり</v>
      </c>
      <c r="D14" s="5">
        <f>IFERROR(__xludf.DUMMYFUNCTION("""COMPUTED_VALUE"""),1.0)</f>
        <v>1</v>
      </c>
      <c r="E14" s="5" t="str">
        <f>IFERROR(__xludf.DUMMYFUNCTION("""COMPUTED_VALUE"""),"女")</f>
        <v>女</v>
      </c>
      <c r="F14" s="5" t="str">
        <f>IFERROR(__xludf.DUMMYFUNCTION("""COMPUTED_VALUE"""),"WUF")</f>
        <v>WUF</v>
      </c>
      <c r="G14" s="5" t="str">
        <f>IFERROR(__xludf.DUMMYFUNCTION("""COMPUTED_VALUE"""),"○出場")</f>
        <v>○出場</v>
      </c>
      <c r="H14" s="5">
        <f>IFERROR(__xludf.DUMMYFUNCTION("""COMPUTED_VALUE"""),519994.0)</f>
        <v>519994</v>
      </c>
      <c r="I14" s="5" t="str">
        <f>IFERROR(__xludf.DUMMYFUNCTION("""COMPUTED_VALUE"""),"×参加しない")</f>
        <v>×参加しない</v>
      </c>
      <c r="J14" s="5"/>
      <c r="K14" s="12">
        <f t="shared" ref="K14:K201" si="2">IF(AND(OR(F14="×欠場",F14=""),OR(G14="×欠場",G14="")),0,1)</f>
        <v>1</v>
      </c>
      <c r="M14" s="5" t="str">
        <f>IFERROR(__xludf.DUMMYFUNCTION("FILTER('リレー内容'!$C$2:$K$51,'リレー内容'!$B$2:$B$51=A1)"),"×欠場")</f>
        <v>×欠場</v>
      </c>
      <c r="N14" s="5" t="str">
        <f>IFERROR(__xludf.DUMMYFUNCTION("""COMPUTED_VALUE"""),"×欠場")</f>
        <v>×欠場</v>
      </c>
      <c r="O14" s="5">
        <f>IFERROR(__xludf.DUMMYFUNCTION("""COMPUTED_VALUE"""),0.0)</f>
        <v>0</v>
      </c>
      <c r="P14" s="5">
        <f>IFERROR(__xludf.DUMMYFUNCTION("""COMPUTED_VALUE"""),0.0)</f>
        <v>0</v>
      </c>
      <c r="Q14" s="5">
        <f>IFERROR(__xludf.DUMMYFUNCTION("""COMPUTED_VALUE"""),0.0)</f>
        <v>0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IFERROR(__xludf.DUMMYFUNCTION("""COMPUTED_VALUE"""),1.0)</f>
        <v>1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IFERROR(__xludf.DUMMYFUNCTION("""COMPUTED_VALUE"""),214201.0)</f>
        <v>214201</v>
      </c>
      <c r="B15" s="5" t="str">
        <f>IFERROR(__xludf.DUMMYFUNCTION("""COMPUTED_VALUE"""),"小瀧七実")</f>
        <v>小瀧七実</v>
      </c>
      <c r="C15" s="5" t="str">
        <f>IFERROR(__xludf.DUMMYFUNCTION("""COMPUTED_VALUE"""),"こたきななみ")</f>
        <v>こたきななみ</v>
      </c>
      <c r="D15" s="5">
        <f>IFERROR(__xludf.DUMMYFUNCTION("""COMPUTED_VALUE"""),2.0)</f>
        <v>2</v>
      </c>
      <c r="E15" s="5" t="str">
        <f>IFERROR(__xludf.DUMMYFUNCTION("""COMPUTED_VALUE"""),"女")</f>
        <v>女</v>
      </c>
      <c r="F15" s="5" t="str">
        <f>IFERROR(__xludf.DUMMYFUNCTION("""COMPUTED_VALUE"""),"WUB")</f>
        <v>WUB</v>
      </c>
      <c r="G15" s="5" t="str">
        <f>IFERROR(__xludf.DUMMYFUNCTION("""COMPUTED_VALUE"""),"○出場")</f>
        <v>○出場</v>
      </c>
      <c r="H15" s="5">
        <f>IFERROR(__xludf.DUMMYFUNCTION("""COMPUTED_VALUE"""),256451.0)</f>
        <v>256451</v>
      </c>
      <c r="I15" s="5" t="str">
        <f>IFERROR(__xludf.DUMMYFUNCTION("""COMPUTED_VALUE"""),"×参加しない")</f>
        <v>×参加しない</v>
      </c>
      <c r="J15" s="5"/>
      <c r="K15" s="12">
        <f t="shared" si="2"/>
        <v>1</v>
      </c>
    </row>
    <row r="16" ht="19.5" customHeight="1">
      <c r="A16" s="5">
        <f>IFERROR(__xludf.DUMMYFUNCTION("""COMPUTED_VALUE"""),214202.0)</f>
        <v>214202</v>
      </c>
      <c r="B16" s="5" t="str">
        <f>IFERROR(__xludf.DUMMYFUNCTION("""COMPUTED_VALUE"""),"橋本さくら")</f>
        <v>橋本さくら</v>
      </c>
      <c r="C16" s="5" t="str">
        <f>IFERROR(__xludf.DUMMYFUNCTION("""COMPUTED_VALUE"""),"はしもとさくら")</f>
        <v>はしもとさくら</v>
      </c>
      <c r="D16" s="5">
        <f>IFERROR(__xludf.DUMMYFUNCTION("""COMPUTED_VALUE"""),2.0)</f>
        <v>2</v>
      </c>
      <c r="E16" s="5" t="str">
        <f>IFERROR(__xludf.DUMMYFUNCTION("""COMPUTED_VALUE"""),"女")</f>
        <v>女</v>
      </c>
      <c r="F16" s="5" t="str">
        <f>IFERROR(__xludf.DUMMYFUNCTION("""COMPUTED_VALUE"""),"×欠場")</f>
        <v>×欠場</v>
      </c>
      <c r="G16" s="5" t="str">
        <f>IFERROR(__xludf.DUMMYFUNCTION("""COMPUTED_VALUE"""),"×欠場")</f>
        <v>×欠場</v>
      </c>
      <c r="H16" s="5"/>
      <c r="I16" s="5" t="str">
        <f>IFERROR(__xludf.DUMMYFUNCTION("""COMPUTED_VALUE"""),"×参加しない")</f>
        <v>×参加しない</v>
      </c>
      <c r="J16" s="5"/>
      <c r="K16" s="12">
        <f t="shared" si="2"/>
        <v>0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>
        <f>IFERROR(__xludf.DUMMYFUNCTION("""COMPUTED_VALUE"""),214204.0)</f>
        <v>214204</v>
      </c>
      <c r="B17" s="5" t="str">
        <f>IFERROR(__xludf.DUMMYFUNCTION("""COMPUTED_VALUE"""),"菊池こころ")</f>
        <v>菊池こころ</v>
      </c>
      <c r="C17" s="5" t="str">
        <f>IFERROR(__xludf.DUMMYFUNCTION("""COMPUTED_VALUE"""),"きくちこころ")</f>
        <v>きくちこころ</v>
      </c>
      <c r="D17" s="5">
        <f>IFERROR(__xludf.DUMMYFUNCTION("""COMPUTED_VALUE"""),2.0)</f>
        <v>2</v>
      </c>
      <c r="E17" s="5" t="str">
        <f>IFERROR(__xludf.DUMMYFUNCTION("""COMPUTED_VALUE"""),"女")</f>
        <v>女</v>
      </c>
      <c r="F17" s="5" t="str">
        <f>IFERROR(__xludf.DUMMYFUNCTION("""COMPUTED_VALUE"""),"×欠場")</f>
        <v>×欠場</v>
      </c>
      <c r="G17" s="5" t="str">
        <f>IFERROR(__xludf.DUMMYFUNCTION("""COMPUTED_VALUE"""),"×欠場")</f>
        <v>×欠場</v>
      </c>
      <c r="H17" s="5"/>
      <c r="I17" s="5" t="str">
        <f>IFERROR(__xludf.DUMMYFUNCTION("""COMPUTED_VALUE"""),"×参加しない")</f>
        <v>×参加しない</v>
      </c>
      <c r="J17" s="5"/>
      <c r="K17" s="12">
        <f t="shared" si="2"/>
        <v>0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>
        <f>IFERROR(__xludf.DUMMYFUNCTION("""COMPUTED_VALUE"""),214205.0)</f>
        <v>214205</v>
      </c>
      <c r="B18" s="5" t="str">
        <f>IFERROR(__xludf.DUMMYFUNCTION("""COMPUTED_VALUE"""),"小林菜々子")</f>
        <v>小林菜々子</v>
      </c>
      <c r="C18" s="5" t="str">
        <f>IFERROR(__xludf.DUMMYFUNCTION("""COMPUTED_VALUE"""),"こばやしななこ")</f>
        <v>こばやしななこ</v>
      </c>
      <c r="D18" s="5">
        <f>IFERROR(__xludf.DUMMYFUNCTION("""COMPUTED_VALUE"""),2.0)</f>
        <v>2</v>
      </c>
      <c r="E18" s="5" t="str">
        <f>IFERROR(__xludf.DUMMYFUNCTION("""COMPUTED_VALUE"""),"女")</f>
        <v>女</v>
      </c>
      <c r="F18" s="5" t="str">
        <f>IFERROR(__xludf.DUMMYFUNCTION("""COMPUTED_VALUE"""),"×欠場")</f>
        <v>×欠場</v>
      </c>
      <c r="G18" s="5" t="str">
        <f>IFERROR(__xludf.DUMMYFUNCTION("""COMPUTED_VALUE"""),"×欠場")</f>
        <v>×欠場</v>
      </c>
      <c r="H18" s="5"/>
      <c r="I18" s="5" t="str">
        <f>IFERROR(__xludf.DUMMYFUNCTION("""COMPUTED_VALUE"""),"×参加しない")</f>
        <v>×参加しない</v>
      </c>
      <c r="J18" s="5"/>
      <c r="K18" s="12">
        <f t="shared" si="2"/>
        <v>0</v>
      </c>
      <c r="M18" s="5"/>
      <c r="N18" s="2"/>
      <c r="O18" s="4"/>
      <c r="P18" s="2"/>
      <c r="Q18" s="3"/>
      <c r="R18" s="3"/>
      <c r="S18" s="3"/>
      <c r="T18" s="3"/>
      <c r="U18" s="4"/>
    </row>
    <row r="19" ht="19.5" customHeight="1">
      <c r="A19" s="5">
        <f>IFERROR(__xludf.DUMMYFUNCTION("""COMPUTED_VALUE"""),214207.0)</f>
        <v>214207</v>
      </c>
      <c r="B19" s="5" t="str">
        <f>IFERROR(__xludf.DUMMYFUNCTION("""COMPUTED_VALUE"""),"高梨華世")</f>
        <v>高梨華世</v>
      </c>
      <c r="C19" s="5" t="str">
        <f>IFERROR(__xludf.DUMMYFUNCTION("""COMPUTED_VALUE"""),"たかなしはなよ")</f>
        <v>たかなしはなよ</v>
      </c>
      <c r="D19" s="5">
        <f>IFERROR(__xludf.DUMMYFUNCTION("""COMPUTED_VALUE"""),2.0)</f>
        <v>2</v>
      </c>
      <c r="E19" s="5" t="str">
        <f>IFERROR(__xludf.DUMMYFUNCTION("""COMPUTED_VALUE"""),"女")</f>
        <v>女</v>
      </c>
      <c r="F19" s="5" t="str">
        <f>IFERROR(__xludf.DUMMYFUNCTION("""COMPUTED_VALUE"""),"×欠場")</f>
        <v>×欠場</v>
      </c>
      <c r="G19" s="5" t="str">
        <f>IFERROR(__xludf.DUMMYFUNCTION("""COMPUTED_VALUE"""),"×欠場")</f>
        <v>×欠場</v>
      </c>
      <c r="H19" s="5"/>
      <c r="I19" s="5" t="str">
        <f>IFERROR(__xludf.DUMMYFUNCTION("""COMPUTED_VALUE"""),"×参加しない")</f>
        <v>×参加しない</v>
      </c>
      <c r="J19" s="5"/>
      <c r="K19" s="12">
        <f t="shared" si="2"/>
        <v>0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>
        <f>IFERROR(__xludf.DUMMYFUNCTION("""COMPUTED_VALUE"""),214208.0)</f>
        <v>214208</v>
      </c>
      <c r="B20" s="5" t="str">
        <f>IFERROR(__xludf.DUMMYFUNCTION("""COMPUTED_VALUE"""),"渡部知優")</f>
        <v>渡部知優</v>
      </c>
      <c r="C20" s="5" t="str">
        <f>IFERROR(__xludf.DUMMYFUNCTION("""COMPUTED_VALUE"""),"わたなべちひろ")</f>
        <v>わたなべちひろ</v>
      </c>
      <c r="D20" s="5">
        <f>IFERROR(__xludf.DUMMYFUNCTION("""COMPUTED_VALUE"""),2.0)</f>
        <v>2</v>
      </c>
      <c r="E20" s="5" t="str">
        <f>IFERROR(__xludf.DUMMYFUNCTION("""COMPUTED_VALUE"""),"女")</f>
        <v>女</v>
      </c>
      <c r="F20" s="5" t="str">
        <f>IFERROR(__xludf.DUMMYFUNCTION("""COMPUTED_VALUE"""),"WUA")</f>
        <v>WUA</v>
      </c>
      <c r="G20" s="5" t="str">
        <f>IFERROR(__xludf.DUMMYFUNCTION("""COMPUTED_VALUE"""),"○出場")</f>
        <v>○出場</v>
      </c>
      <c r="H20" s="5">
        <f>IFERROR(__xludf.DUMMYFUNCTION("""COMPUTED_VALUE"""),256449.0)</f>
        <v>256449</v>
      </c>
      <c r="I20" s="5" t="str">
        <f>IFERROR(__xludf.DUMMYFUNCTION("""COMPUTED_VALUE"""),"×参加しない")</f>
        <v>×参加しない</v>
      </c>
      <c r="J20" s="5"/>
      <c r="K20" s="12">
        <f t="shared" si="2"/>
        <v>1</v>
      </c>
    </row>
    <row r="21" ht="19.5" customHeight="1">
      <c r="A21" s="5">
        <f>IFERROR(__xludf.DUMMYFUNCTION("""COMPUTED_VALUE"""),114203.0)</f>
        <v>114203</v>
      </c>
      <c r="B21" s="5" t="str">
        <f>IFERROR(__xludf.DUMMYFUNCTION("""COMPUTED_VALUE"""),"芦野冬果")</f>
        <v>芦野冬果</v>
      </c>
      <c r="C21" s="5" t="str">
        <f>IFERROR(__xludf.DUMMYFUNCTION("""COMPUTED_VALUE"""),"あしのふゆか")</f>
        <v>あしのふゆか</v>
      </c>
      <c r="D21" s="5">
        <f>IFERROR(__xludf.DUMMYFUNCTION("""COMPUTED_VALUE"""),3.0)</f>
        <v>3</v>
      </c>
      <c r="E21" s="5" t="str">
        <f>IFERROR(__xludf.DUMMYFUNCTION("""COMPUTED_VALUE"""),"女")</f>
        <v>女</v>
      </c>
      <c r="F21" s="5" t="str">
        <f>IFERROR(__xludf.DUMMYFUNCTION("""COMPUTED_VALUE"""),"×欠場")</f>
        <v>×欠場</v>
      </c>
      <c r="G21" s="5" t="str">
        <f>IFERROR(__xludf.DUMMYFUNCTION("""COMPUTED_VALUE"""),"×欠場")</f>
        <v>×欠場</v>
      </c>
      <c r="H21" s="5"/>
      <c r="I21" s="5" t="str">
        <f>IFERROR(__xludf.DUMMYFUNCTION("""COMPUTED_VALUE"""),"×参加しない")</f>
        <v>×参加しない</v>
      </c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>
        <f>IFERROR(__xludf.DUMMYFUNCTION("""COMPUTED_VALUE"""),114204.0)</f>
        <v>114204</v>
      </c>
      <c r="B22" s="5" t="str">
        <f>IFERROR(__xludf.DUMMYFUNCTION("""COMPUTED_VALUE"""),"後藤 瑠佳")</f>
        <v>後藤 瑠佳</v>
      </c>
      <c r="C22" s="5" t="str">
        <f>IFERROR(__xludf.DUMMYFUNCTION("""COMPUTED_VALUE"""),"ごとう るか")</f>
        <v>ごとう るか</v>
      </c>
      <c r="D22" s="5">
        <f>IFERROR(__xludf.DUMMYFUNCTION("""COMPUTED_VALUE"""),3.0)</f>
        <v>3</v>
      </c>
      <c r="E22" s="5" t="str">
        <f>IFERROR(__xludf.DUMMYFUNCTION("""COMPUTED_VALUE"""),"女")</f>
        <v>女</v>
      </c>
      <c r="F22" s="5" t="str">
        <f>IFERROR(__xludf.DUMMYFUNCTION("""COMPUTED_VALUE"""),"×欠場")</f>
        <v>×欠場</v>
      </c>
      <c r="G22" s="5" t="str">
        <f>IFERROR(__xludf.DUMMYFUNCTION("""COMPUTED_VALUE"""),"×欠場")</f>
        <v>×欠場</v>
      </c>
      <c r="H22" s="5"/>
      <c r="I22" s="5" t="str">
        <f>IFERROR(__xludf.DUMMYFUNCTION("""COMPUTED_VALUE"""),"×参加しない")</f>
        <v>×参加しない</v>
      </c>
      <c r="J22" s="5"/>
      <c r="K22" s="12">
        <f t="shared" si="2"/>
        <v>0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>
        <f>IFERROR(__xludf.DUMMYFUNCTION("""COMPUTED_VALUE"""),114205.0)</f>
        <v>114205</v>
      </c>
      <c r="B23" s="5" t="str">
        <f>IFERROR(__xludf.DUMMYFUNCTION("""COMPUTED_VALUE"""),"齋藤 香穂")</f>
        <v>齋藤 香穂</v>
      </c>
      <c r="C23" s="5" t="str">
        <f>IFERROR(__xludf.DUMMYFUNCTION("""COMPUTED_VALUE"""),"さいとう かほ")</f>
        <v>さいとう かほ</v>
      </c>
      <c r="D23" s="5">
        <f>IFERROR(__xludf.DUMMYFUNCTION("""COMPUTED_VALUE"""),3.0)</f>
        <v>3</v>
      </c>
      <c r="E23" s="5" t="str">
        <f>IFERROR(__xludf.DUMMYFUNCTION("""COMPUTED_VALUE"""),"女")</f>
        <v>女</v>
      </c>
      <c r="F23" s="5" t="str">
        <f>IFERROR(__xludf.DUMMYFUNCTION("""COMPUTED_VALUE"""),"×欠場")</f>
        <v>×欠場</v>
      </c>
      <c r="G23" s="5" t="str">
        <f>IFERROR(__xludf.DUMMYFUNCTION("""COMPUTED_VALUE"""),"×欠場")</f>
        <v>×欠場</v>
      </c>
      <c r="H23" s="5"/>
      <c r="I23" s="5" t="str">
        <f>IFERROR(__xludf.DUMMYFUNCTION("""COMPUTED_VALUE"""),"×参加しない")</f>
        <v>×参加しない</v>
      </c>
      <c r="J23" s="5"/>
      <c r="K23" s="12">
        <f t="shared" si="2"/>
        <v>0</v>
      </c>
      <c r="M23" s="2"/>
      <c r="N23" s="4"/>
      <c r="O23" s="2"/>
      <c r="P23" s="3"/>
      <c r="Q23" s="5"/>
      <c r="R23" s="2"/>
      <c r="S23" s="4"/>
      <c r="T23" s="14"/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>
        <f>IFERROR(__xludf.DUMMYFUNCTION("""COMPUTED_VALUE"""),114206.0)</f>
        <v>114206</v>
      </c>
      <c r="B24" s="5" t="str">
        <f>IFERROR(__xludf.DUMMYFUNCTION("""COMPUTED_VALUE"""),"千葉 望央")</f>
        <v>千葉 望央</v>
      </c>
      <c r="C24" s="5" t="str">
        <f>IFERROR(__xludf.DUMMYFUNCTION("""COMPUTED_VALUE"""),"ちばみお")</f>
        <v>ちばみお</v>
      </c>
      <c r="D24" s="5">
        <f>IFERROR(__xludf.DUMMYFUNCTION("""COMPUTED_VALUE"""),3.0)</f>
        <v>3</v>
      </c>
      <c r="E24" s="5" t="str">
        <f>IFERROR(__xludf.DUMMYFUNCTION("""COMPUTED_VALUE"""),"女")</f>
        <v>女</v>
      </c>
      <c r="F24" s="5" t="str">
        <f>IFERROR(__xludf.DUMMYFUNCTION("""COMPUTED_VALUE"""),"×欠場")</f>
        <v>×欠場</v>
      </c>
      <c r="G24" s="5" t="str">
        <f>IFERROR(__xludf.DUMMYFUNCTION("""COMPUTED_VALUE"""),"×欠場")</f>
        <v>×欠場</v>
      </c>
      <c r="H24" s="5"/>
      <c r="I24" s="5" t="str">
        <f>IFERROR(__xludf.DUMMYFUNCTION("""COMPUTED_VALUE"""),"×参加しない")</f>
        <v>×参加しない</v>
      </c>
      <c r="J24" s="5"/>
      <c r="K24" s="12">
        <f t="shared" si="2"/>
        <v>0</v>
      </c>
      <c r="M24" s="2"/>
      <c r="N24" s="4"/>
      <c r="O24" s="2"/>
      <c r="P24" s="3"/>
      <c r="Q24" s="5"/>
      <c r="R24" s="2"/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>
        <f>IFERROR(__xludf.DUMMYFUNCTION("""COMPUTED_VALUE"""),114208.0)</f>
        <v>114208</v>
      </c>
      <c r="B25" s="5" t="str">
        <f>IFERROR(__xludf.DUMMYFUNCTION("""COMPUTED_VALUE"""),"畠山 碧")</f>
        <v>畠山 碧</v>
      </c>
      <c r="C25" s="5" t="str">
        <f>IFERROR(__xludf.DUMMYFUNCTION("""COMPUTED_VALUE"""),"はたけやまあおい")</f>
        <v>はたけやまあおい</v>
      </c>
      <c r="D25" s="5">
        <f>IFERROR(__xludf.DUMMYFUNCTION("""COMPUTED_VALUE"""),3.0)</f>
        <v>3</v>
      </c>
      <c r="E25" s="5" t="str">
        <f>IFERROR(__xludf.DUMMYFUNCTION("""COMPUTED_VALUE"""),"女")</f>
        <v>女</v>
      </c>
      <c r="F25" s="5" t="str">
        <f>IFERROR(__xludf.DUMMYFUNCTION("""COMPUTED_VALUE"""),"×欠場")</f>
        <v>×欠場</v>
      </c>
      <c r="G25" s="5" t="str">
        <f>IFERROR(__xludf.DUMMYFUNCTION("""COMPUTED_VALUE"""),"×欠場")</f>
        <v>×欠場</v>
      </c>
      <c r="H25" s="5"/>
      <c r="I25" s="5" t="str">
        <f>IFERROR(__xludf.DUMMYFUNCTION("""COMPUTED_VALUE"""),"×参加しない")</f>
        <v>×参加しない</v>
      </c>
      <c r="J25" s="5"/>
      <c r="K25" s="12">
        <f t="shared" si="2"/>
        <v>0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12">
        <f t="shared" si="2"/>
        <v>0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12">
        <f t="shared" si="2"/>
        <v>0</v>
      </c>
    </row>
    <row r="28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12">
        <f t="shared" si="2"/>
        <v>0</v>
      </c>
    </row>
    <row r="29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12">
        <f t="shared" si="2"/>
        <v>0</v>
      </c>
    </row>
    <row r="3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12">
        <f t="shared" si="2"/>
        <v>0</v>
      </c>
    </row>
    <row r="31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12">
        <f t="shared" si="2"/>
        <v>0</v>
      </c>
    </row>
    <row r="32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12">
        <f t="shared" si="2"/>
        <v>0</v>
      </c>
    </row>
    <row r="33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12">
        <f t="shared" si="2"/>
        <v>0</v>
      </c>
    </row>
    <row r="34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12">
        <f t="shared" si="2"/>
        <v>0</v>
      </c>
    </row>
    <row r="3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12">
        <f t="shared" si="2"/>
        <v>0</v>
      </c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12">
        <f t="shared" si="2"/>
        <v>0</v>
      </c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12">
        <f t="shared" si="2"/>
        <v>0</v>
      </c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12">
        <f t="shared" si="2"/>
        <v>0</v>
      </c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12">
        <f t="shared" si="2"/>
        <v>0</v>
      </c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12">
        <f t="shared" si="2"/>
        <v>0</v>
      </c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12">
        <f t="shared" si="2"/>
        <v>0</v>
      </c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12">
        <f t="shared" si="2"/>
        <v>0</v>
      </c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12">
        <f t="shared" si="2"/>
        <v>0</v>
      </c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12">
        <f t="shared" si="2"/>
        <v>0</v>
      </c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2">
        <f t="shared" si="2"/>
        <v>0</v>
      </c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2">
        <f t="shared" si="2"/>
        <v>0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401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1</v>
      </c>
      <c r="E4" s="7">
        <f t="shared" ref="E4:E8" si="1">C4*D4</f>
        <v>8500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0</v>
      </c>
      <c r="E5" s="7">
        <f t="shared" si="1"/>
        <v>0</v>
      </c>
    </row>
    <row r="6" ht="19.5" customHeight="1">
      <c r="A6" s="2" t="s">
        <v>9</v>
      </c>
      <c r="B6" s="4"/>
      <c r="C6" s="7">
        <v>32700.0</v>
      </c>
      <c r="D6" s="5">
        <f>D4+D5</f>
        <v>1</v>
      </c>
      <c r="E6" s="7">
        <f t="shared" si="1"/>
        <v>32700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0</v>
      </c>
      <c r="E7" s="7">
        <f t="shared" si="1"/>
        <v>0</v>
      </c>
    </row>
    <row r="8" ht="19.5" customHeight="1">
      <c r="A8" s="2" t="s">
        <v>11</v>
      </c>
      <c r="B8" s="4"/>
      <c r="C8" s="7">
        <v>500.0</v>
      </c>
      <c r="D8" s="5">
        <f>D4-COUNT(H14:H201)</f>
        <v>1</v>
      </c>
      <c r="E8" s="7">
        <f t="shared" si="1"/>
        <v>500</v>
      </c>
    </row>
    <row r="9" ht="19.5" customHeight="1">
      <c r="A9" s="9"/>
      <c r="B9" s="9"/>
      <c r="C9" s="9"/>
      <c r="D9" s="10" t="s">
        <v>5</v>
      </c>
      <c r="E9" s="11">
        <f>SUM(E4:E8)</f>
        <v>41700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IFERROR(__xludf.DUMMYFUNCTION("FILTER('個人別エントリー'!C2:L1018,'個人別エントリー'!B2:B1018=A1)"),314401.0)</f>
        <v>314401</v>
      </c>
      <c r="B14" s="5" t="str">
        <f>IFERROR(__xludf.DUMMYFUNCTION("""COMPUTED_VALUE"""),"竹花彩加")</f>
        <v>竹花彩加</v>
      </c>
      <c r="C14" s="5" t="str">
        <f>IFERROR(__xludf.DUMMYFUNCTION("""COMPUTED_VALUE"""),"たけはなあやか")</f>
        <v>たけはなあやか</v>
      </c>
      <c r="D14" s="5">
        <f>IFERROR(__xludf.DUMMYFUNCTION("""COMPUTED_VALUE"""),1.0)</f>
        <v>1</v>
      </c>
      <c r="E14" s="5" t="str">
        <f>IFERROR(__xludf.DUMMYFUNCTION("""COMPUTED_VALUE"""),"女")</f>
        <v>女</v>
      </c>
      <c r="F14" s="5" t="str">
        <f>IFERROR(__xludf.DUMMYFUNCTION("""COMPUTED_VALUE"""),"×欠場")</f>
        <v>×欠場</v>
      </c>
      <c r="G14" s="5" t="str">
        <f>IFERROR(__xludf.DUMMYFUNCTION("""COMPUTED_VALUE"""),"×欠場")</f>
        <v>×欠場</v>
      </c>
      <c r="H14" s="5"/>
      <c r="I14" s="5" t="str">
        <f>IFERROR(__xludf.DUMMYFUNCTION("""COMPUTED_VALUE"""),"×参加しない")</f>
        <v>×参加しない</v>
      </c>
      <c r="J14" s="5"/>
      <c r="K14" s="12">
        <f t="shared" ref="K14:K201" si="2">IF(AND(OR(F14="×欠場",F14=""),OR(G14="×欠場",G14="")),0,1)</f>
        <v>0</v>
      </c>
      <c r="M14" s="5" t="str">
        <f>IFERROR(__xludf.DUMMYFUNCTION("FILTER('リレー内容'!$C$2:$K$51,'リレー内容'!$B$2:$B$51=A1)"),"×欠場")</f>
        <v>×欠場</v>
      </c>
      <c r="N14" s="5" t="str">
        <f>IFERROR(__xludf.DUMMYFUNCTION("""COMPUTED_VALUE"""),"×欠場")</f>
        <v>×欠場</v>
      </c>
      <c r="O14" s="5">
        <f>IFERROR(__xludf.DUMMYFUNCTION("""COMPUTED_VALUE"""),0.0)</f>
        <v>0</v>
      </c>
      <c r="P14" s="5">
        <f>IFERROR(__xludf.DUMMYFUNCTION("""COMPUTED_VALUE"""),0.0)</f>
        <v>0</v>
      </c>
      <c r="Q14" s="5">
        <f>IFERROR(__xludf.DUMMYFUNCTION("""COMPUTED_VALUE"""),0.0)</f>
        <v>0</v>
      </c>
      <c r="R14" s="5">
        <f>IFERROR(__xludf.DUMMYFUNCTION("""COMPUTED_VALUE"""),1.0)</f>
        <v>1</v>
      </c>
      <c r="S14" s="5">
        <f>IFERROR(__xludf.DUMMYFUNCTION("""COMPUTED_VALUE"""),0.0)</f>
        <v>0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>
        <f>IFERROR(__xludf.DUMMYFUNCTION("""COMPUTED_VALUE"""),314402.0)</f>
        <v>314402</v>
      </c>
      <c r="B15" s="5" t="str">
        <f>IFERROR(__xludf.DUMMYFUNCTION("""COMPUTED_VALUE"""),"小林和花")</f>
        <v>小林和花</v>
      </c>
      <c r="C15" s="5" t="str">
        <f>IFERROR(__xludf.DUMMYFUNCTION("""COMPUTED_VALUE"""),"こばやしのどか")</f>
        <v>こばやしのどか</v>
      </c>
      <c r="D15" s="5">
        <f>IFERROR(__xludf.DUMMYFUNCTION("""COMPUTED_VALUE"""),1.0)</f>
        <v>1</v>
      </c>
      <c r="E15" s="5" t="str">
        <f>IFERROR(__xludf.DUMMYFUNCTION("""COMPUTED_VALUE"""),"女")</f>
        <v>女</v>
      </c>
      <c r="F15" s="5" t="str">
        <f>IFERROR(__xludf.DUMMYFUNCTION("""COMPUTED_VALUE"""),"×欠場")</f>
        <v>×欠場</v>
      </c>
      <c r="G15" s="5" t="str">
        <f>IFERROR(__xludf.DUMMYFUNCTION("""COMPUTED_VALUE"""),"×欠場")</f>
        <v>×欠場</v>
      </c>
      <c r="H15" s="5"/>
      <c r="I15" s="5" t="str">
        <f>IFERROR(__xludf.DUMMYFUNCTION("""COMPUTED_VALUE"""),"×参加しない")</f>
        <v>×参加しない</v>
      </c>
      <c r="J15" s="5"/>
      <c r="K15" s="12">
        <f t="shared" si="2"/>
        <v>0</v>
      </c>
    </row>
    <row r="16" ht="19.5" customHeight="1">
      <c r="A16" s="5">
        <f>IFERROR(__xludf.DUMMYFUNCTION("""COMPUTED_VALUE"""),314403.0)</f>
        <v>314403</v>
      </c>
      <c r="B16" s="5" t="str">
        <f>IFERROR(__xludf.DUMMYFUNCTION("""COMPUTED_VALUE"""),"深田祐衣")</f>
        <v>深田祐衣</v>
      </c>
      <c r="C16" s="5" t="str">
        <f>IFERROR(__xludf.DUMMYFUNCTION("""COMPUTED_VALUE"""),"ふかだゆい")</f>
        <v>ふかだゆい</v>
      </c>
      <c r="D16" s="5">
        <f>IFERROR(__xludf.DUMMYFUNCTION("""COMPUTED_VALUE"""),1.0)</f>
        <v>1</v>
      </c>
      <c r="E16" s="5" t="str">
        <f>IFERROR(__xludf.DUMMYFUNCTION("""COMPUTED_VALUE"""),"女")</f>
        <v>女</v>
      </c>
      <c r="F16" s="5" t="str">
        <f>IFERROR(__xludf.DUMMYFUNCTION("""COMPUTED_VALUE"""),"×欠場")</f>
        <v>×欠場</v>
      </c>
      <c r="G16" s="5" t="str">
        <f>IFERROR(__xludf.DUMMYFUNCTION("""COMPUTED_VALUE"""),"×欠場")</f>
        <v>×欠場</v>
      </c>
      <c r="H16" s="5"/>
      <c r="I16" s="5" t="str">
        <f>IFERROR(__xludf.DUMMYFUNCTION("""COMPUTED_VALUE"""),"×参加しない")</f>
        <v>×参加しない</v>
      </c>
      <c r="J16" s="5"/>
      <c r="K16" s="12">
        <f t="shared" si="2"/>
        <v>0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>
        <f>IFERROR(__xludf.DUMMYFUNCTION("""COMPUTED_VALUE"""),214401.0)</f>
        <v>214401</v>
      </c>
      <c r="B17" s="5" t="str">
        <f>IFERROR(__xludf.DUMMYFUNCTION("""COMPUTED_VALUE"""),"久慈琢斗")</f>
        <v>久慈琢斗</v>
      </c>
      <c r="C17" s="5" t="str">
        <f>IFERROR(__xludf.DUMMYFUNCTION("""COMPUTED_VALUE"""),"くじたくと")</f>
        <v>くじたくと</v>
      </c>
      <c r="D17" s="5">
        <f>IFERROR(__xludf.DUMMYFUNCTION("""COMPUTED_VALUE"""),2.0)</f>
        <v>2</v>
      </c>
      <c r="E17" s="5" t="str">
        <f>IFERROR(__xludf.DUMMYFUNCTION("""COMPUTED_VALUE"""),"男")</f>
        <v>男</v>
      </c>
      <c r="F17" s="5" t="str">
        <f>IFERROR(__xludf.DUMMYFUNCTION("""COMPUTED_VALUE"""),"MUA")</f>
        <v>MUA</v>
      </c>
      <c r="G17" s="5" t="str">
        <f>IFERROR(__xludf.DUMMYFUNCTION("""COMPUTED_VALUE"""),"○出場")</f>
        <v>○出場</v>
      </c>
      <c r="H17" s="5"/>
      <c r="I17" s="5" t="str">
        <f>IFERROR(__xludf.DUMMYFUNCTION("""COMPUTED_VALUE"""),"×参加しない")</f>
        <v>×参加しない</v>
      </c>
      <c r="J17" s="5"/>
      <c r="K17" s="12">
        <f t="shared" si="2"/>
        <v>1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>
        <f>IFERROR(__xludf.DUMMYFUNCTION("""COMPUTED_VALUE"""),114403.0)</f>
        <v>114403</v>
      </c>
      <c r="B18" s="5" t="str">
        <f>IFERROR(__xludf.DUMMYFUNCTION("""COMPUTED_VALUE"""),"浅沼 まい")</f>
        <v>浅沼 まい</v>
      </c>
      <c r="C18" s="5" t="str">
        <f>IFERROR(__xludf.DUMMYFUNCTION("""COMPUTED_VALUE"""),"あさぬま まい")</f>
        <v>あさぬま まい</v>
      </c>
      <c r="D18" s="5">
        <f>IFERROR(__xludf.DUMMYFUNCTION("""COMPUTED_VALUE"""),3.0)</f>
        <v>3</v>
      </c>
      <c r="E18" s="5" t="str">
        <f>IFERROR(__xludf.DUMMYFUNCTION("""COMPUTED_VALUE"""),"女")</f>
        <v>女</v>
      </c>
      <c r="F18" s="5" t="str">
        <f>IFERROR(__xludf.DUMMYFUNCTION("""COMPUTED_VALUE"""),"×欠場")</f>
        <v>×欠場</v>
      </c>
      <c r="G18" s="5" t="str">
        <f>IFERROR(__xludf.DUMMYFUNCTION("""COMPUTED_VALUE"""),"×欠場")</f>
        <v>×欠場</v>
      </c>
      <c r="H18" s="5"/>
      <c r="I18" s="5" t="str">
        <f>IFERROR(__xludf.DUMMYFUNCTION("""COMPUTED_VALUE"""),"×参加しない")</f>
        <v>×参加しない</v>
      </c>
      <c r="J18" s="5"/>
      <c r="K18" s="12">
        <f t="shared" si="2"/>
        <v>0</v>
      </c>
      <c r="M18" s="5"/>
      <c r="N18" s="2"/>
      <c r="O18" s="4"/>
      <c r="P18" s="2"/>
      <c r="Q18" s="3"/>
      <c r="R18" s="3"/>
      <c r="S18" s="3"/>
      <c r="T18" s="3"/>
      <c r="U18" s="4"/>
    </row>
    <row r="19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12">
        <f t="shared" si="2"/>
        <v>0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12">
        <f t="shared" si="2"/>
        <v>0</v>
      </c>
    </row>
    <row r="21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12">
        <f t="shared" si="2"/>
        <v>0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2">
        <f t="shared" si="2"/>
        <v>0</v>
      </c>
      <c r="M23" s="2"/>
      <c r="N23" s="4"/>
      <c r="O23" s="2"/>
      <c r="P23" s="3"/>
      <c r="Q23" s="5"/>
      <c r="R23" s="2"/>
      <c r="S23" s="4"/>
      <c r="T23" s="14"/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2">
        <f t="shared" si="2"/>
        <v>0</v>
      </c>
      <c r="M24" s="2"/>
      <c r="N24" s="4"/>
      <c r="O24" s="2"/>
      <c r="P24" s="3"/>
      <c r="Q24" s="5"/>
      <c r="R24" s="2"/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12">
        <f t="shared" si="2"/>
        <v>0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12">
        <f t="shared" si="2"/>
        <v>0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12">
        <f t="shared" si="2"/>
        <v>0</v>
      </c>
    </row>
    <row r="28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12">
        <f t="shared" si="2"/>
        <v>0</v>
      </c>
    </row>
    <row r="29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12">
        <f t="shared" si="2"/>
        <v>0</v>
      </c>
    </row>
    <row r="3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12">
        <f t="shared" si="2"/>
        <v>0</v>
      </c>
    </row>
    <row r="31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12">
        <f t="shared" si="2"/>
        <v>0</v>
      </c>
    </row>
    <row r="32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12">
        <f t="shared" si="2"/>
        <v>0</v>
      </c>
    </row>
    <row r="33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12">
        <f t="shared" si="2"/>
        <v>0</v>
      </c>
    </row>
    <row r="34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12">
        <f t="shared" si="2"/>
        <v>0</v>
      </c>
    </row>
    <row r="3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12">
        <f t="shared" si="2"/>
        <v>0</v>
      </c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12">
        <f t="shared" si="2"/>
        <v>0</v>
      </c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12">
        <f t="shared" si="2"/>
        <v>0</v>
      </c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12">
        <f t="shared" si="2"/>
        <v>0</v>
      </c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12">
        <f t="shared" si="2"/>
        <v>0</v>
      </c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12">
        <f t="shared" si="2"/>
        <v>0</v>
      </c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12">
        <f t="shared" si="2"/>
        <v>0</v>
      </c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12">
        <f t="shared" si="2"/>
        <v>0</v>
      </c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12">
        <f t="shared" si="2"/>
        <v>0</v>
      </c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12">
        <f t="shared" si="2"/>
        <v>0</v>
      </c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2">
        <f t="shared" si="2"/>
        <v>0</v>
      </c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2">
        <f t="shared" si="2"/>
        <v>0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44"/>
    <col customWidth="1" min="2" max="2" width="18.0"/>
    <col customWidth="1" min="3" max="3" width="16.67"/>
    <col customWidth="1" min="4" max="4" width="9.56"/>
    <col customWidth="1" min="6" max="7" width="8.11"/>
    <col customWidth="1" min="8" max="8" width="11.0"/>
    <col customWidth="1" min="9" max="9" width="14.33"/>
    <col customWidth="1" min="10" max="10" width="12.11"/>
    <col customWidth="1" hidden="1" min="11" max="11" width="6.44"/>
    <col customWidth="1" min="12" max="12" width="6.44"/>
    <col customWidth="1" min="13" max="21" width="7.78"/>
    <col customWidth="1" min="22" max="22" width="6.44"/>
    <col customWidth="1" hidden="1" min="23" max="26" width="6.44"/>
  </cols>
  <sheetData>
    <row r="1" ht="27.0" customHeight="1">
      <c r="A1" s="1" t="s">
        <v>412</v>
      </c>
    </row>
    <row r="2" ht="19.5" customHeight="1">
      <c r="A2" s="2" t="s">
        <v>1</v>
      </c>
      <c r="B2" s="3"/>
      <c r="C2" s="3"/>
      <c r="D2" s="3"/>
      <c r="E2" s="4"/>
    </row>
    <row r="3" ht="19.5" customHeight="1">
      <c r="A3" s="2" t="s">
        <v>2</v>
      </c>
      <c r="B3" s="4"/>
      <c r="C3" s="5" t="s">
        <v>3</v>
      </c>
      <c r="D3" s="5" t="s">
        <v>4</v>
      </c>
      <c r="E3" s="5" t="s">
        <v>5</v>
      </c>
    </row>
    <row r="4" ht="19.5" customHeight="1">
      <c r="A4" s="6" t="s">
        <v>6</v>
      </c>
      <c r="B4" s="5" t="s">
        <v>7</v>
      </c>
      <c r="C4" s="7">
        <v>8500.0</v>
      </c>
      <c r="D4" s="5">
        <f>SUM(K14:K201)</f>
        <v>1</v>
      </c>
      <c r="E4" s="7">
        <f t="shared" ref="E4:E6" si="1">C4*D4</f>
        <v>8500</v>
      </c>
    </row>
    <row r="5" ht="19.5" customHeight="1">
      <c r="A5" s="8"/>
      <c r="B5" s="5" t="s">
        <v>8</v>
      </c>
      <c r="C5" s="7">
        <v>8000.0</v>
      </c>
      <c r="D5" s="5">
        <f>4-COUNTIF(M23:M26,"")</f>
        <v>0</v>
      </c>
      <c r="E5" s="7">
        <f t="shared" si="1"/>
        <v>0</v>
      </c>
    </row>
    <row r="6" ht="19.5" customHeight="1">
      <c r="A6" s="2" t="s">
        <v>9</v>
      </c>
      <c r="B6" s="4"/>
      <c r="C6" s="7">
        <v>32700.0</v>
      </c>
      <c r="D6" s="5">
        <f>D4+D5</f>
        <v>1</v>
      </c>
      <c r="E6" s="7">
        <f t="shared" si="1"/>
        <v>32700</v>
      </c>
    </row>
    <row r="7" ht="19.5" customHeight="1">
      <c r="A7" s="2" t="s">
        <v>10</v>
      </c>
      <c r="B7" s="4"/>
      <c r="C7" s="7">
        <v>4500.0</v>
      </c>
      <c r="D7" s="5">
        <f>IF(M14="○出場",1,0)+IF(N14="○出場",1,0)</f>
        <v>1</v>
      </c>
      <c r="E7" s="7">
        <f>C7*D7/3</f>
        <v>1500</v>
      </c>
      <c r="F7" s="47" t="s">
        <v>2319</v>
      </c>
    </row>
    <row r="8" ht="19.5" customHeight="1">
      <c r="A8" s="2" t="s">
        <v>11</v>
      </c>
      <c r="B8" s="4"/>
      <c r="C8" s="7">
        <v>500.0</v>
      </c>
      <c r="D8" s="5">
        <f>D4-COUNT(H14:H201)</f>
        <v>1</v>
      </c>
      <c r="E8" s="7">
        <f>C8*D8</f>
        <v>500</v>
      </c>
    </row>
    <row r="9" ht="19.5" customHeight="1">
      <c r="A9" s="9"/>
      <c r="B9" s="9"/>
      <c r="C9" s="9"/>
      <c r="D9" s="10" t="s">
        <v>5</v>
      </c>
      <c r="E9" s="11">
        <f>SUM(E4:E8)</f>
        <v>43200</v>
      </c>
    </row>
    <row r="10" ht="19.5" customHeight="1"/>
    <row r="11" ht="19.5" customHeight="1"/>
    <row r="12" ht="19.5" customHeight="1">
      <c r="A12" s="2" t="s">
        <v>12</v>
      </c>
      <c r="B12" s="3"/>
      <c r="C12" s="3"/>
      <c r="D12" s="3"/>
      <c r="E12" s="3"/>
      <c r="F12" s="3"/>
      <c r="G12" s="3"/>
      <c r="H12" s="3"/>
      <c r="I12" s="3"/>
      <c r="J12" s="4"/>
      <c r="K12" s="12" t="s">
        <v>13</v>
      </c>
      <c r="M12" s="2" t="s">
        <v>14</v>
      </c>
      <c r="N12" s="3"/>
      <c r="O12" s="3"/>
      <c r="P12" s="3"/>
      <c r="Q12" s="3"/>
      <c r="R12" s="3"/>
      <c r="S12" s="3"/>
      <c r="T12" s="3"/>
      <c r="U12" s="4"/>
    </row>
    <row r="13" ht="19.5" customHeight="1">
      <c r="A13" s="5" t="s">
        <v>15</v>
      </c>
      <c r="B13" s="5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46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5" t="s">
        <v>31</v>
      </c>
      <c r="T13" s="5" t="s">
        <v>32</v>
      </c>
      <c r="U13" s="5" t="s">
        <v>33</v>
      </c>
    </row>
    <row r="14" ht="19.5" customHeight="1">
      <c r="A14" s="5">
        <f>IFERROR(__xludf.DUMMYFUNCTION("FILTER('個人別エントリー'!C2:L1018,'個人別エントリー'!B2:B1018=A1)"),215101.0)</f>
        <v>215101</v>
      </c>
      <c r="B14" s="5" t="str">
        <f>IFERROR(__xludf.DUMMYFUNCTION("""COMPUTED_VALUE"""),"寺嶋謙一郎")</f>
        <v>寺嶋謙一郎</v>
      </c>
      <c r="C14" s="5" t="str">
        <f>IFERROR(__xludf.DUMMYFUNCTION("""COMPUTED_VALUE"""),"てらしまけんいちろう")</f>
        <v>てらしまけんいちろう</v>
      </c>
      <c r="D14" s="5">
        <f>IFERROR(__xludf.DUMMYFUNCTION("""COMPUTED_VALUE"""),2.0)</f>
        <v>2</v>
      </c>
      <c r="E14" s="5" t="str">
        <f>IFERROR(__xludf.DUMMYFUNCTION("""COMPUTED_VALUE"""),"男")</f>
        <v>男</v>
      </c>
      <c r="F14" s="5" t="str">
        <f>IFERROR(__xludf.DUMMYFUNCTION("""COMPUTED_VALUE"""),"MUA")</f>
        <v>MUA</v>
      </c>
      <c r="G14" s="5" t="str">
        <f>IFERROR(__xludf.DUMMYFUNCTION("""COMPUTED_VALUE"""),"○出場")</f>
        <v>○出場</v>
      </c>
      <c r="H14" s="5"/>
      <c r="I14" s="5" t="str">
        <f>IFERROR(__xludf.DUMMYFUNCTION("""COMPUTED_VALUE"""),"○参加する")</f>
        <v>○参加する</v>
      </c>
      <c r="J14" s="5"/>
      <c r="K14" s="12">
        <f t="shared" ref="K14:K201" si="2">IF(AND(OR(F14="×欠場",F14=""),OR(G14="×欠場",G14="")),0,1)</f>
        <v>1</v>
      </c>
      <c r="M14" s="5" t="str">
        <f>IFERROR(__xludf.DUMMYFUNCTION("FILTER('リレー内容'!$C$2:$K$51,'リレー内容'!$B$2:$B$51=A1)"),"○出場")</f>
        <v>○出場</v>
      </c>
      <c r="N14" s="5" t="str">
        <f>IFERROR(__xludf.DUMMYFUNCTION("""COMPUTED_VALUE"""),"×欠場")</f>
        <v>×欠場</v>
      </c>
      <c r="O14" s="5">
        <f>IFERROR(__xludf.DUMMYFUNCTION("""COMPUTED_VALUE"""),0.0)</f>
        <v>0</v>
      </c>
      <c r="P14" s="5">
        <f>IFERROR(__xludf.DUMMYFUNCTION("""COMPUTED_VALUE"""),0.0)</f>
        <v>0</v>
      </c>
      <c r="Q14" s="5">
        <f>IFERROR(__xludf.DUMMYFUNCTION("""COMPUTED_VALUE"""),0.0)</f>
        <v>0</v>
      </c>
      <c r="R14" s="5">
        <f>IFERROR(__xludf.DUMMYFUNCTION("""COMPUTED_VALUE"""),0.0)</f>
        <v>0</v>
      </c>
      <c r="S14" s="5">
        <f>IFERROR(__xludf.DUMMYFUNCTION("""COMPUTED_VALUE"""),0.0)</f>
        <v>0</v>
      </c>
      <c r="T14" s="5">
        <f>IFERROR(__xludf.DUMMYFUNCTION("""COMPUTED_VALUE"""),0.0)</f>
        <v>0</v>
      </c>
      <c r="U14" s="5">
        <f>IFERROR(__xludf.DUMMYFUNCTION("""COMPUTED_VALUE"""),0.0)</f>
        <v>0</v>
      </c>
    </row>
    <row r="15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12">
        <f t="shared" si="2"/>
        <v>0</v>
      </c>
    </row>
    <row r="16" ht="19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12">
        <f t="shared" si="2"/>
        <v>0</v>
      </c>
      <c r="M16" s="2" t="s">
        <v>34</v>
      </c>
      <c r="N16" s="3"/>
      <c r="O16" s="3"/>
      <c r="P16" s="3"/>
      <c r="Q16" s="3"/>
      <c r="R16" s="3"/>
      <c r="S16" s="3"/>
      <c r="T16" s="3"/>
      <c r="U16" s="4"/>
    </row>
    <row r="17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12">
        <f t="shared" si="2"/>
        <v>0</v>
      </c>
      <c r="M17" s="5" t="s">
        <v>35</v>
      </c>
      <c r="N17" s="2" t="s">
        <v>36</v>
      </c>
      <c r="O17" s="4"/>
      <c r="P17" s="2" t="s">
        <v>37</v>
      </c>
      <c r="Q17" s="3"/>
      <c r="R17" s="3"/>
      <c r="S17" s="3"/>
      <c r="T17" s="3"/>
      <c r="U17" s="4"/>
    </row>
    <row r="18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12">
        <f t="shared" si="2"/>
        <v>0</v>
      </c>
      <c r="M18" s="5" t="s">
        <v>25</v>
      </c>
      <c r="N18" s="2"/>
      <c r="O18" s="4"/>
      <c r="P18" s="48" t="s">
        <v>2320</v>
      </c>
      <c r="Q18" s="3"/>
      <c r="R18" s="3"/>
      <c r="S18" s="3"/>
      <c r="T18" s="3"/>
      <c r="U18" s="4"/>
    </row>
    <row r="19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12">
        <f t="shared" si="2"/>
        <v>0</v>
      </c>
      <c r="M19" s="5"/>
      <c r="N19" s="2"/>
      <c r="O19" s="4"/>
      <c r="P19" s="2"/>
      <c r="Q19" s="3"/>
      <c r="R19" s="3"/>
      <c r="S19" s="3"/>
      <c r="T19" s="3"/>
      <c r="U19" s="4"/>
    </row>
    <row r="20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12">
        <f t="shared" si="2"/>
        <v>0</v>
      </c>
    </row>
    <row r="21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12">
        <f t="shared" si="2"/>
        <v>0</v>
      </c>
      <c r="M21" s="2" t="s">
        <v>38</v>
      </c>
      <c r="N21" s="3"/>
      <c r="O21" s="3"/>
      <c r="P21" s="3"/>
      <c r="Q21" s="3"/>
      <c r="R21" s="3"/>
      <c r="S21" s="3"/>
      <c r="T21" s="3"/>
      <c r="U21" s="4"/>
    </row>
    <row r="22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12">
        <f t="shared" si="2"/>
        <v>0</v>
      </c>
      <c r="M22" s="2" t="s">
        <v>16</v>
      </c>
      <c r="N22" s="4"/>
      <c r="O22" s="2" t="s">
        <v>17</v>
      </c>
      <c r="P22" s="3"/>
      <c r="Q22" s="5" t="s">
        <v>19</v>
      </c>
      <c r="R22" s="2" t="s">
        <v>23</v>
      </c>
      <c r="S22" s="4"/>
      <c r="T22" s="13" t="s">
        <v>24</v>
      </c>
      <c r="U22" s="4"/>
    </row>
    <row r="23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2">
        <f t="shared" si="2"/>
        <v>0</v>
      </c>
      <c r="M23" s="2"/>
      <c r="N23" s="4"/>
      <c r="O23" s="2"/>
      <c r="P23" s="3"/>
      <c r="Q23" s="5"/>
      <c r="R23" s="2"/>
      <c r="S23" s="4"/>
      <c r="T23" s="14"/>
      <c r="U23" s="15"/>
      <c r="W23" s="16" t="s">
        <v>39</v>
      </c>
      <c r="X23" s="17" t="s">
        <v>40</v>
      </c>
      <c r="Y23" s="17" t="s">
        <v>41</v>
      </c>
      <c r="Z23" s="18"/>
    </row>
    <row r="24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2">
        <f t="shared" si="2"/>
        <v>0</v>
      </c>
      <c r="M24" s="2"/>
      <c r="N24" s="4"/>
      <c r="O24" s="2"/>
      <c r="P24" s="3"/>
      <c r="Q24" s="5"/>
      <c r="R24" s="2"/>
      <c r="S24" s="4"/>
      <c r="T24" s="14"/>
      <c r="U24" s="15"/>
      <c r="W24" s="16" t="s">
        <v>42</v>
      </c>
      <c r="X24" s="17" t="s">
        <v>43</v>
      </c>
      <c r="Y24" s="17" t="s">
        <v>44</v>
      </c>
      <c r="Z24" s="18"/>
    </row>
    <row r="25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12">
        <f t="shared" si="2"/>
        <v>0</v>
      </c>
      <c r="M25" s="2"/>
      <c r="N25" s="4"/>
      <c r="O25" s="2"/>
      <c r="P25" s="3"/>
      <c r="Q25" s="19"/>
      <c r="R25" s="2"/>
      <c r="S25" s="4"/>
      <c r="T25" s="20"/>
      <c r="U25" s="15"/>
    </row>
    <row r="26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12">
        <f t="shared" si="2"/>
        <v>0</v>
      </c>
      <c r="M26" s="2"/>
      <c r="N26" s="4"/>
      <c r="O26" s="2"/>
      <c r="P26" s="3"/>
      <c r="Q26" s="19"/>
      <c r="R26" s="2"/>
      <c r="S26" s="4"/>
      <c r="T26" s="20"/>
      <c r="U26" s="15"/>
    </row>
    <row r="27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12">
        <f t="shared" si="2"/>
        <v>0</v>
      </c>
    </row>
    <row r="28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12">
        <f t="shared" si="2"/>
        <v>0</v>
      </c>
    </row>
    <row r="29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12">
        <f t="shared" si="2"/>
        <v>0</v>
      </c>
    </row>
    <row r="3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12">
        <f t="shared" si="2"/>
        <v>0</v>
      </c>
    </row>
    <row r="31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12">
        <f t="shared" si="2"/>
        <v>0</v>
      </c>
    </row>
    <row r="32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12">
        <f t="shared" si="2"/>
        <v>0</v>
      </c>
    </row>
    <row r="33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12">
        <f t="shared" si="2"/>
        <v>0</v>
      </c>
    </row>
    <row r="34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12">
        <f t="shared" si="2"/>
        <v>0</v>
      </c>
    </row>
    <row r="3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12">
        <f t="shared" si="2"/>
        <v>0</v>
      </c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12">
        <f t="shared" si="2"/>
        <v>0</v>
      </c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12">
        <f t="shared" si="2"/>
        <v>0</v>
      </c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12">
        <f t="shared" si="2"/>
        <v>0</v>
      </c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12">
        <f t="shared" si="2"/>
        <v>0</v>
      </c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12">
        <f t="shared" si="2"/>
        <v>0</v>
      </c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12">
        <f t="shared" si="2"/>
        <v>0</v>
      </c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12">
        <f t="shared" si="2"/>
        <v>0</v>
      </c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12">
        <f t="shared" si="2"/>
        <v>0</v>
      </c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12">
        <f t="shared" si="2"/>
        <v>0</v>
      </c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12">
        <f t="shared" si="2"/>
        <v>0</v>
      </c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12">
        <f t="shared" si="2"/>
        <v>0</v>
      </c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12">
        <f t="shared" si="2"/>
        <v>0</v>
      </c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12">
        <f t="shared" si="2"/>
        <v>0</v>
      </c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2">
        <f t="shared" si="2"/>
        <v>0</v>
      </c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12">
        <f t="shared" si="2"/>
        <v>0</v>
      </c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12">
        <f t="shared" si="2"/>
        <v>0</v>
      </c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2">
        <f t="shared" si="2"/>
        <v>0</v>
      </c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2">
        <f t="shared" si="2"/>
        <v>0</v>
      </c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12">
        <f t="shared" si="2"/>
        <v>0</v>
      </c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12">
        <f t="shared" si="2"/>
        <v>0</v>
      </c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12">
        <f t="shared" si="2"/>
        <v>0</v>
      </c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12">
        <f t="shared" si="2"/>
        <v>0</v>
      </c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12">
        <f t="shared" si="2"/>
        <v>0</v>
      </c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12">
        <f t="shared" si="2"/>
        <v>0</v>
      </c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12">
        <f t="shared" si="2"/>
        <v>0</v>
      </c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f t="shared" si="2"/>
        <v>0</v>
      </c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12">
        <f t="shared" si="2"/>
        <v>0</v>
      </c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12">
        <f t="shared" si="2"/>
        <v>0</v>
      </c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12">
        <f t="shared" si="2"/>
        <v>0</v>
      </c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12">
        <f t="shared" si="2"/>
        <v>0</v>
      </c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12">
        <f t="shared" si="2"/>
        <v>0</v>
      </c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12">
        <f t="shared" si="2"/>
        <v>0</v>
      </c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12">
        <f t="shared" si="2"/>
        <v>0</v>
      </c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2">
        <f t="shared" si="2"/>
        <v>0</v>
      </c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2">
        <f t="shared" si="2"/>
        <v>0</v>
      </c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2">
        <f t="shared" si="2"/>
        <v>0</v>
      </c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2">
        <f t="shared" si="2"/>
        <v>0</v>
      </c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2">
        <f t="shared" si="2"/>
        <v>0</v>
      </c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2">
        <f t="shared" si="2"/>
        <v>0</v>
      </c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2">
        <f t="shared" si="2"/>
        <v>0</v>
      </c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2">
        <f t="shared" si="2"/>
        <v>0</v>
      </c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2">
        <f t="shared" si="2"/>
        <v>0</v>
      </c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2">
        <f t="shared" si="2"/>
        <v>0</v>
      </c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12">
        <f t="shared" si="2"/>
        <v>0</v>
      </c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12">
        <f t="shared" si="2"/>
        <v>0</v>
      </c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12">
        <f t="shared" si="2"/>
        <v>0</v>
      </c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12">
        <f t="shared" si="2"/>
        <v>0</v>
      </c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12">
        <f t="shared" si="2"/>
        <v>0</v>
      </c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12">
        <f t="shared" si="2"/>
        <v>0</v>
      </c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12">
        <f t="shared" si="2"/>
        <v>0</v>
      </c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12">
        <f t="shared" si="2"/>
        <v>0</v>
      </c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2">
        <f t="shared" si="2"/>
        <v>0</v>
      </c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12">
        <f t="shared" si="2"/>
        <v>0</v>
      </c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12">
        <f t="shared" si="2"/>
        <v>0</v>
      </c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12">
        <f t="shared" si="2"/>
        <v>0</v>
      </c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12">
        <f t="shared" si="2"/>
        <v>0</v>
      </c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12">
        <f t="shared" si="2"/>
        <v>0</v>
      </c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2">
        <f t="shared" si="2"/>
        <v>0</v>
      </c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12">
        <f t="shared" si="2"/>
        <v>0</v>
      </c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12">
        <f t="shared" si="2"/>
        <v>0</v>
      </c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12">
        <f t="shared" si="2"/>
        <v>0</v>
      </c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12">
        <f t="shared" si="2"/>
        <v>0</v>
      </c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2">
        <f t="shared" si="2"/>
        <v>0</v>
      </c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12">
        <f t="shared" si="2"/>
        <v>0</v>
      </c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>
        <f t="shared" si="2"/>
        <v>0</v>
      </c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>
        <f t="shared" si="2"/>
        <v>0</v>
      </c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>
        <f t="shared" si="2"/>
        <v>0</v>
      </c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>
        <f t="shared" si="2"/>
        <v>0</v>
      </c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>
        <f t="shared" si="2"/>
        <v>0</v>
      </c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>
        <f t="shared" si="2"/>
        <v>0</v>
      </c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>
        <f t="shared" si="2"/>
        <v>0</v>
      </c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>
        <f t="shared" si="2"/>
        <v>0</v>
      </c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>
        <f t="shared" si="2"/>
        <v>0</v>
      </c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>
        <f t="shared" si="2"/>
        <v>0</v>
      </c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>
        <f t="shared" si="2"/>
        <v>0</v>
      </c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>
        <f t="shared" si="2"/>
        <v>0</v>
      </c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>
        <f t="shared" si="2"/>
        <v>0</v>
      </c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>
        <f t="shared" si="2"/>
        <v>0</v>
      </c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>
        <f t="shared" si="2"/>
        <v>0</v>
      </c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>
        <f t="shared" si="2"/>
        <v>0</v>
      </c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>
        <f t="shared" si="2"/>
        <v>0</v>
      </c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>
        <f t="shared" si="2"/>
        <v>0</v>
      </c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>
        <f t="shared" si="2"/>
        <v>0</v>
      </c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>
        <f t="shared" si="2"/>
        <v>0</v>
      </c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>
        <f t="shared" si="2"/>
        <v>0</v>
      </c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>
        <f t="shared" si="2"/>
        <v>0</v>
      </c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>
        <f t="shared" si="2"/>
        <v>0</v>
      </c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>
        <f t="shared" si="2"/>
        <v>0</v>
      </c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>
        <f t="shared" si="2"/>
        <v>0</v>
      </c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>
        <f t="shared" si="2"/>
        <v>0</v>
      </c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>
        <f t="shared" si="2"/>
        <v>0</v>
      </c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>
        <f t="shared" si="2"/>
        <v>0</v>
      </c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>
        <f t="shared" si="2"/>
        <v>0</v>
      </c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>
        <f t="shared" si="2"/>
        <v>0</v>
      </c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>
        <f t="shared" si="2"/>
        <v>0</v>
      </c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>
        <f t="shared" si="2"/>
        <v>0</v>
      </c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>
        <f t="shared" si="2"/>
        <v>0</v>
      </c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>
        <f t="shared" si="2"/>
        <v>0</v>
      </c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>
        <f t="shared" si="2"/>
        <v>0</v>
      </c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>
        <f t="shared" si="2"/>
        <v>0</v>
      </c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>
        <f t="shared" si="2"/>
        <v>0</v>
      </c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>
        <f t="shared" si="2"/>
        <v>0</v>
      </c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>
        <f t="shared" si="2"/>
        <v>0</v>
      </c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>
        <f t="shared" si="2"/>
        <v>0</v>
      </c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>
        <f t="shared" si="2"/>
        <v>0</v>
      </c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>
        <f t="shared" si="2"/>
        <v>0</v>
      </c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>
        <f t="shared" si="2"/>
        <v>0</v>
      </c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>
        <f t="shared" si="2"/>
        <v>0</v>
      </c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>
        <f t="shared" si="2"/>
        <v>0</v>
      </c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>
        <f t="shared" si="2"/>
        <v>0</v>
      </c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>
        <f t="shared" si="2"/>
        <v>0</v>
      </c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>
        <f t="shared" si="2"/>
        <v>0</v>
      </c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>
        <f t="shared" si="2"/>
        <v>0</v>
      </c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>
        <f t="shared" si="2"/>
        <v>0</v>
      </c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>
        <f t="shared" si="2"/>
        <v>0</v>
      </c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>
        <f t="shared" si="2"/>
        <v>0</v>
      </c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>
        <f t="shared" si="2"/>
        <v>0</v>
      </c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>
        <f t="shared" si="2"/>
        <v>0</v>
      </c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>
        <f t="shared" si="2"/>
        <v>0</v>
      </c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>
        <f t="shared" si="2"/>
        <v>0</v>
      </c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>
        <f t="shared" si="2"/>
        <v>0</v>
      </c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>
        <f t="shared" si="2"/>
        <v>0</v>
      </c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>
        <f t="shared" si="2"/>
        <v>0</v>
      </c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>
        <f t="shared" si="2"/>
        <v>0</v>
      </c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>
        <f t="shared" si="2"/>
        <v>0</v>
      </c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>
        <f t="shared" si="2"/>
        <v>0</v>
      </c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>
        <f t="shared" si="2"/>
        <v>0</v>
      </c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>
        <f t="shared" si="2"/>
        <v>0</v>
      </c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>
        <f t="shared" si="2"/>
        <v>0</v>
      </c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>
        <f t="shared" si="2"/>
        <v>0</v>
      </c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>
        <f t="shared" si="2"/>
        <v>0</v>
      </c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>
        <f t="shared" si="2"/>
        <v>0</v>
      </c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>
        <f t="shared" si="2"/>
        <v>0</v>
      </c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>
        <f t="shared" si="2"/>
        <v>0</v>
      </c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>
        <f t="shared" si="2"/>
        <v>0</v>
      </c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>
        <f t="shared" si="2"/>
        <v>0</v>
      </c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>
        <f t="shared" si="2"/>
        <v>0</v>
      </c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>
        <f t="shared" si="2"/>
        <v>0</v>
      </c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>
        <f t="shared" si="2"/>
        <v>0</v>
      </c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>
        <f t="shared" si="2"/>
        <v>0</v>
      </c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>
        <f t="shared" si="2"/>
        <v>0</v>
      </c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>
        <f t="shared" si="2"/>
        <v>0</v>
      </c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>
        <f t="shared" si="2"/>
        <v>0</v>
      </c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>
        <f t="shared" si="2"/>
        <v>0</v>
      </c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>
        <f t="shared" si="2"/>
        <v>0</v>
      </c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>
        <f t="shared" si="2"/>
        <v>0</v>
      </c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>
        <f t="shared" si="2"/>
        <v>0</v>
      </c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>
        <f t="shared" si="2"/>
        <v>0</v>
      </c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>
        <f t="shared" si="2"/>
        <v>0</v>
      </c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>
        <f t="shared" si="2"/>
        <v>0</v>
      </c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>
        <f t="shared" si="2"/>
        <v>0</v>
      </c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>
        <f t="shared" si="2"/>
        <v>0</v>
      </c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>
        <f t="shared" si="2"/>
        <v>0</v>
      </c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>
        <f t="shared" si="2"/>
        <v>0</v>
      </c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>
        <f t="shared" si="2"/>
        <v>0</v>
      </c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>
        <f t="shared" si="2"/>
        <v>0</v>
      </c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>
        <f t="shared" si="2"/>
        <v>0</v>
      </c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>
        <f t="shared" si="2"/>
        <v>0</v>
      </c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>
        <f t="shared" si="2"/>
        <v>0</v>
      </c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>
        <f t="shared" si="2"/>
        <v>0</v>
      </c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>
        <f t="shared" si="2"/>
        <v>0</v>
      </c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>
        <f t="shared" si="2"/>
        <v>0</v>
      </c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>
        <f t="shared" si="2"/>
        <v>0</v>
      </c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>
        <f t="shared" si="2"/>
        <v>0</v>
      </c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>
        <f t="shared" si="2"/>
        <v>0</v>
      </c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>
        <f t="shared" si="2"/>
        <v>0</v>
      </c>
    </row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:E2"/>
    <mergeCell ref="A3:B3"/>
    <mergeCell ref="A4:A5"/>
    <mergeCell ref="A6:B6"/>
    <mergeCell ref="A7:B7"/>
    <mergeCell ref="A8:B8"/>
    <mergeCell ref="A12:J12"/>
    <mergeCell ref="M12:U12"/>
    <mergeCell ref="M16:U16"/>
    <mergeCell ref="N17:O17"/>
    <mergeCell ref="P17:U17"/>
    <mergeCell ref="N18:O18"/>
    <mergeCell ref="P18:U18"/>
    <mergeCell ref="N19:O19"/>
    <mergeCell ref="R22:S22"/>
    <mergeCell ref="R23:S23"/>
    <mergeCell ref="R24:S24"/>
    <mergeCell ref="R25:S25"/>
    <mergeCell ref="R26:S26"/>
    <mergeCell ref="M24:N24"/>
    <mergeCell ref="O24:P24"/>
    <mergeCell ref="M25:N25"/>
    <mergeCell ref="O25:P25"/>
    <mergeCell ref="M26:N26"/>
    <mergeCell ref="O26:P26"/>
    <mergeCell ref="P19:U19"/>
    <mergeCell ref="M21:U21"/>
    <mergeCell ref="M22:N22"/>
    <mergeCell ref="O22:P22"/>
    <mergeCell ref="T22:U22"/>
    <mergeCell ref="M23:N23"/>
    <mergeCell ref="O23:P23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